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DEGIOR\Desktop\Pablo\UTN - Inv. Operativa\Ejercicios\"/>
    </mc:Choice>
  </mc:AlternateContent>
  <bookViews>
    <workbookView xWindow="0" yWindow="0" windowWidth="19200" windowHeight="7050" firstSheet="2" activeTab="10"/>
  </bookViews>
  <sheets>
    <sheet name="CEP Mono" sheetId="1" r:id="rId1"/>
    <sheet name="CEP Faltante" sheetId="2" r:id="rId2"/>
    <sheet name="CEP Desc" sheetId="3" r:id="rId3"/>
    <sheet name="CEP Prod" sheetId="4" r:id="rId4"/>
    <sheet name="Juegos" sheetId="5" r:id="rId5"/>
    <sheet name="Markov" sheetId="6" r:id="rId6"/>
    <sheet name="Colas" sheetId="7" r:id="rId7"/>
    <sheet name="Rut Min" sheetId="8" r:id="rId8"/>
    <sheet name="Ext Min" sheetId="9" r:id="rId9"/>
    <sheet name="Flujo" sheetId="10" r:id="rId10"/>
    <sheet name="Simulación" sheetId="11" r:id="rId11"/>
  </sheets>
  <externalReferences>
    <externalReference r:id="rId12"/>
  </externalReferences>
  <definedNames>
    <definedName name="probabilidad">[1]Aleatorios!$Q$3:$R$102</definedName>
  </definedNames>
  <calcPr calcId="162913" calcMode="manual" calcCompleted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1" l="1"/>
  <c r="J20" i="11"/>
  <c r="H20" i="11"/>
  <c r="M19" i="11"/>
  <c r="L18" i="8"/>
  <c r="I20" i="7"/>
  <c r="E21" i="7"/>
  <c r="E20" i="7"/>
  <c r="E19" i="7"/>
  <c r="P20" i="7"/>
  <c r="D12" i="7"/>
  <c r="K11" i="7"/>
  <c r="G10" i="7"/>
  <c r="I22" i="6"/>
  <c r="I23" i="6"/>
  <c r="I24" i="6"/>
  <c r="N22" i="6"/>
  <c r="J12" i="4"/>
  <c r="J9" i="4"/>
  <c r="J11" i="4"/>
  <c r="J6" i="4"/>
  <c r="C12" i="4"/>
  <c r="J21" i="3"/>
  <c r="I21" i="3"/>
  <c r="H19" i="3"/>
  <c r="H18" i="3"/>
  <c r="H27" i="2"/>
  <c r="J25" i="2"/>
  <c r="H23" i="2"/>
  <c r="P17" i="2"/>
  <c r="C20" i="2"/>
  <c r="C21" i="2"/>
  <c r="J25" i="1"/>
  <c r="J24" i="1"/>
  <c r="J23" i="1"/>
  <c r="H20" i="1"/>
  <c r="L19" i="1"/>
  <c r="L18" i="1"/>
  <c r="J15" i="1"/>
  <c r="J12" i="1"/>
  <c r="J19" i="11"/>
  <c r="H19" i="11"/>
  <c r="D18" i="11"/>
  <c r="G17" i="11"/>
  <c r="D17" i="11"/>
  <c r="G16" i="11"/>
  <c r="D16" i="11"/>
  <c r="G15" i="11"/>
  <c r="D15" i="11"/>
  <c r="G14" i="11"/>
  <c r="D14" i="11"/>
  <c r="G13" i="11"/>
  <c r="G12" i="11"/>
  <c r="G11" i="11"/>
  <c r="G10" i="11"/>
  <c r="G9" i="11"/>
  <c r="D9" i="11"/>
  <c r="G8" i="11"/>
  <c r="D8" i="11"/>
  <c r="G7" i="11"/>
  <c r="D7" i="11"/>
  <c r="G6" i="11"/>
  <c r="D6" i="11"/>
  <c r="G5" i="11"/>
  <c r="D5" i="11"/>
  <c r="G4" i="11"/>
  <c r="D4" i="11"/>
  <c r="Q6" i="10"/>
  <c r="R25" i="10"/>
  <c r="R21" i="10"/>
  <c r="H25" i="10"/>
  <c r="L25" i="10"/>
  <c r="P25" i="10"/>
  <c r="T25" i="10"/>
  <c r="N24" i="10"/>
  <c r="J24" i="10"/>
  <c r="H24" i="10"/>
  <c r="L24" i="10"/>
  <c r="P24" i="10"/>
  <c r="T24" i="10"/>
  <c r="N23" i="10"/>
  <c r="J23" i="10"/>
  <c r="F23" i="10"/>
  <c r="H23" i="10"/>
  <c r="L23" i="10"/>
  <c r="P23" i="10"/>
  <c r="T23" i="10"/>
  <c r="H22" i="10"/>
  <c r="L22" i="10"/>
  <c r="P22" i="10"/>
  <c r="T22" i="10"/>
  <c r="N21" i="10"/>
  <c r="J21" i="10"/>
  <c r="H21" i="10"/>
  <c r="L21" i="10"/>
  <c r="P21" i="10"/>
  <c r="T21" i="10"/>
  <c r="H20" i="10"/>
  <c r="L20" i="10"/>
  <c r="P20" i="10"/>
  <c r="T20" i="10"/>
  <c r="F19" i="10"/>
  <c r="H19" i="10"/>
  <c r="L19" i="10"/>
  <c r="P19" i="10"/>
  <c r="T19" i="10"/>
  <c r="J18" i="10"/>
  <c r="H18" i="10"/>
  <c r="L18" i="10"/>
  <c r="P18" i="10"/>
  <c r="T18" i="10"/>
  <c r="R17" i="10"/>
  <c r="N17" i="10"/>
  <c r="H17" i="10"/>
  <c r="L17" i="10"/>
  <c r="P17" i="10"/>
  <c r="T17" i="10"/>
  <c r="J16" i="10"/>
  <c r="F16" i="10"/>
  <c r="H16" i="10"/>
  <c r="L16" i="10"/>
  <c r="P16" i="10"/>
  <c r="T16" i="10"/>
  <c r="H22" i="9"/>
  <c r="K19" i="9"/>
  <c r="H18" i="9"/>
  <c r="K17" i="9"/>
  <c r="H15" i="9"/>
  <c r="K14" i="9"/>
  <c r="H12" i="9"/>
  <c r="K11" i="9"/>
  <c r="H9" i="9"/>
  <c r="K8" i="9"/>
  <c r="H6" i="9"/>
  <c r="K5" i="9"/>
  <c r="G19" i="8"/>
  <c r="G18" i="8"/>
  <c r="L15" i="8"/>
  <c r="H15" i="8"/>
  <c r="L14" i="8"/>
  <c r="H14" i="8"/>
  <c r="L13" i="8"/>
  <c r="H13" i="8"/>
  <c r="L12" i="8"/>
  <c r="H12" i="8"/>
  <c r="L11" i="8"/>
  <c r="H11" i="8"/>
  <c r="L10" i="8"/>
  <c r="H10" i="8"/>
  <c r="L9" i="8"/>
  <c r="H9" i="8"/>
  <c r="L8" i="8"/>
  <c r="H8" i="8"/>
  <c r="L7" i="8"/>
  <c r="H7" i="8"/>
  <c r="L6" i="8"/>
  <c r="H6" i="8"/>
  <c r="L5" i="8"/>
  <c r="H5" i="8"/>
  <c r="L4" i="8"/>
  <c r="H4" i="8"/>
  <c r="J33" i="7"/>
  <c r="J31" i="7"/>
  <c r="G29" i="7"/>
  <c r="J27" i="7"/>
  <c r="E25" i="7"/>
  <c r="E24" i="7"/>
  <c r="E23" i="7"/>
  <c r="E22" i="7"/>
  <c r="J14" i="7"/>
  <c r="G11" i="7"/>
  <c r="D44" i="6"/>
  <c r="I42" i="6"/>
  <c r="E44" i="6"/>
  <c r="I43" i="6"/>
  <c r="F44" i="6"/>
  <c r="I44" i="6"/>
  <c r="N44" i="6"/>
  <c r="D49" i="6"/>
  <c r="J42" i="6"/>
  <c r="J43" i="6"/>
  <c r="J44" i="6"/>
  <c r="O44" i="6"/>
  <c r="E49" i="6"/>
  <c r="K42" i="6"/>
  <c r="K43" i="6"/>
  <c r="K44" i="6"/>
  <c r="P44" i="6"/>
  <c r="F49" i="6"/>
  <c r="N49" i="6"/>
  <c r="D54" i="6"/>
  <c r="O49" i="6"/>
  <c r="E54" i="6"/>
  <c r="P49" i="6"/>
  <c r="F54" i="6"/>
  <c r="N54" i="6"/>
  <c r="D59" i="6"/>
  <c r="O54" i="6"/>
  <c r="E59" i="6"/>
  <c r="P54" i="6"/>
  <c r="F59" i="6"/>
  <c r="N59" i="6"/>
  <c r="D64" i="6"/>
  <c r="O59" i="6"/>
  <c r="E64" i="6"/>
  <c r="P59" i="6"/>
  <c r="F64" i="6"/>
  <c r="N64" i="6"/>
  <c r="D69" i="6"/>
  <c r="O64" i="6"/>
  <c r="E69" i="6"/>
  <c r="P64" i="6"/>
  <c r="F69" i="6"/>
  <c r="N69" i="6"/>
  <c r="D74" i="6"/>
  <c r="O69" i="6"/>
  <c r="E74" i="6"/>
  <c r="P69" i="6"/>
  <c r="F74" i="6"/>
  <c r="N74" i="6"/>
  <c r="D79" i="6"/>
  <c r="O74" i="6"/>
  <c r="E79" i="6"/>
  <c r="P74" i="6"/>
  <c r="F79" i="6"/>
  <c r="N79" i="6"/>
  <c r="D84" i="6"/>
  <c r="O79" i="6"/>
  <c r="E84" i="6"/>
  <c r="P79" i="6"/>
  <c r="F84" i="6"/>
  <c r="N84" i="6"/>
  <c r="D89" i="6"/>
  <c r="O84" i="6"/>
  <c r="E89" i="6"/>
  <c r="P84" i="6"/>
  <c r="F89" i="6"/>
  <c r="N89" i="6"/>
  <c r="D94" i="6"/>
  <c r="O89" i="6"/>
  <c r="E94" i="6"/>
  <c r="P89" i="6"/>
  <c r="F94" i="6"/>
  <c r="N94" i="6"/>
  <c r="D99" i="6"/>
  <c r="O94" i="6"/>
  <c r="E99" i="6"/>
  <c r="P94" i="6"/>
  <c r="F99" i="6"/>
  <c r="N99" i="6"/>
  <c r="D104" i="6"/>
  <c r="O99" i="6"/>
  <c r="E104" i="6"/>
  <c r="P99" i="6"/>
  <c r="F104" i="6"/>
  <c r="N104" i="6"/>
  <c r="D109" i="6"/>
  <c r="O104" i="6"/>
  <c r="E109" i="6"/>
  <c r="P104" i="6"/>
  <c r="F109" i="6"/>
  <c r="N109" i="6"/>
  <c r="D114" i="6"/>
  <c r="O109" i="6"/>
  <c r="E114" i="6"/>
  <c r="P109" i="6"/>
  <c r="F114" i="6"/>
  <c r="N114" i="6"/>
  <c r="D119" i="6"/>
  <c r="O114" i="6"/>
  <c r="E119" i="6"/>
  <c r="P114" i="6"/>
  <c r="F119" i="6"/>
  <c r="N119" i="6"/>
  <c r="D124" i="6"/>
  <c r="O119" i="6"/>
  <c r="E124" i="6"/>
  <c r="P119" i="6"/>
  <c r="F124" i="6"/>
  <c r="P124" i="6"/>
  <c r="O124" i="6"/>
  <c r="N124" i="6"/>
  <c r="K124" i="6"/>
  <c r="J124" i="6"/>
  <c r="I124" i="6"/>
  <c r="D43" i="6"/>
  <c r="E43" i="6"/>
  <c r="F43" i="6"/>
  <c r="N43" i="6"/>
  <c r="D48" i="6"/>
  <c r="O43" i="6"/>
  <c r="E48" i="6"/>
  <c r="P43" i="6"/>
  <c r="F48" i="6"/>
  <c r="N48" i="6"/>
  <c r="D53" i="6"/>
  <c r="O48" i="6"/>
  <c r="E53" i="6"/>
  <c r="P48" i="6"/>
  <c r="F53" i="6"/>
  <c r="N53" i="6"/>
  <c r="D58" i="6"/>
  <c r="O53" i="6"/>
  <c r="E58" i="6"/>
  <c r="P53" i="6"/>
  <c r="F58" i="6"/>
  <c r="N58" i="6"/>
  <c r="D63" i="6"/>
  <c r="O58" i="6"/>
  <c r="E63" i="6"/>
  <c r="P58" i="6"/>
  <c r="F63" i="6"/>
  <c r="N63" i="6"/>
  <c r="D68" i="6"/>
  <c r="O63" i="6"/>
  <c r="E68" i="6"/>
  <c r="P63" i="6"/>
  <c r="F68" i="6"/>
  <c r="N68" i="6"/>
  <c r="D73" i="6"/>
  <c r="O68" i="6"/>
  <c r="E73" i="6"/>
  <c r="P68" i="6"/>
  <c r="F73" i="6"/>
  <c r="N73" i="6"/>
  <c r="D78" i="6"/>
  <c r="O73" i="6"/>
  <c r="E78" i="6"/>
  <c r="P73" i="6"/>
  <c r="F78" i="6"/>
  <c r="N78" i="6"/>
  <c r="D83" i="6"/>
  <c r="O78" i="6"/>
  <c r="E83" i="6"/>
  <c r="P78" i="6"/>
  <c r="F83" i="6"/>
  <c r="N83" i="6"/>
  <c r="D88" i="6"/>
  <c r="O83" i="6"/>
  <c r="E88" i="6"/>
  <c r="P83" i="6"/>
  <c r="F88" i="6"/>
  <c r="N88" i="6"/>
  <c r="D93" i="6"/>
  <c r="O88" i="6"/>
  <c r="E93" i="6"/>
  <c r="P88" i="6"/>
  <c r="F93" i="6"/>
  <c r="N93" i="6"/>
  <c r="D98" i="6"/>
  <c r="O93" i="6"/>
  <c r="E98" i="6"/>
  <c r="P93" i="6"/>
  <c r="F98" i="6"/>
  <c r="N98" i="6"/>
  <c r="D103" i="6"/>
  <c r="O98" i="6"/>
  <c r="E103" i="6"/>
  <c r="P98" i="6"/>
  <c r="F103" i="6"/>
  <c r="N103" i="6"/>
  <c r="D108" i="6"/>
  <c r="O103" i="6"/>
  <c r="E108" i="6"/>
  <c r="P103" i="6"/>
  <c r="F108" i="6"/>
  <c r="N108" i="6"/>
  <c r="D113" i="6"/>
  <c r="O108" i="6"/>
  <c r="E113" i="6"/>
  <c r="P108" i="6"/>
  <c r="F113" i="6"/>
  <c r="N113" i="6"/>
  <c r="D118" i="6"/>
  <c r="O113" i="6"/>
  <c r="E118" i="6"/>
  <c r="P113" i="6"/>
  <c r="F118" i="6"/>
  <c r="N118" i="6"/>
  <c r="D123" i="6"/>
  <c r="O118" i="6"/>
  <c r="E123" i="6"/>
  <c r="P118" i="6"/>
  <c r="F123" i="6"/>
  <c r="P123" i="6"/>
  <c r="O123" i="6"/>
  <c r="N123" i="6"/>
  <c r="K123" i="6"/>
  <c r="J123" i="6"/>
  <c r="I123" i="6"/>
  <c r="D42" i="6"/>
  <c r="E42" i="6"/>
  <c r="F42" i="6"/>
  <c r="N42" i="6"/>
  <c r="D47" i="6"/>
  <c r="O42" i="6"/>
  <c r="E47" i="6"/>
  <c r="P42" i="6"/>
  <c r="F47" i="6"/>
  <c r="N47" i="6"/>
  <c r="D52" i="6"/>
  <c r="O47" i="6"/>
  <c r="E52" i="6"/>
  <c r="P47" i="6"/>
  <c r="F52" i="6"/>
  <c r="N52" i="6"/>
  <c r="D57" i="6"/>
  <c r="O52" i="6"/>
  <c r="E57" i="6"/>
  <c r="P52" i="6"/>
  <c r="F57" i="6"/>
  <c r="N57" i="6"/>
  <c r="D62" i="6"/>
  <c r="O57" i="6"/>
  <c r="E62" i="6"/>
  <c r="P57" i="6"/>
  <c r="F62" i="6"/>
  <c r="N62" i="6"/>
  <c r="D67" i="6"/>
  <c r="O62" i="6"/>
  <c r="E67" i="6"/>
  <c r="P62" i="6"/>
  <c r="F67" i="6"/>
  <c r="N67" i="6"/>
  <c r="D72" i="6"/>
  <c r="O67" i="6"/>
  <c r="E72" i="6"/>
  <c r="P67" i="6"/>
  <c r="F72" i="6"/>
  <c r="N72" i="6"/>
  <c r="D77" i="6"/>
  <c r="O72" i="6"/>
  <c r="E77" i="6"/>
  <c r="P72" i="6"/>
  <c r="F77" i="6"/>
  <c r="N77" i="6"/>
  <c r="D82" i="6"/>
  <c r="O77" i="6"/>
  <c r="E82" i="6"/>
  <c r="P77" i="6"/>
  <c r="F82" i="6"/>
  <c r="N82" i="6"/>
  <c r="D87" i="6"/>
  <c r="O82" i="6"/>
  <c r="E87" i="6"/>
  <c r="P82" i="6"/>
  <c r="F87" i="6"/>
  <c r="N87" i="6"/>
  <c r="D92" i="6"/>
  <c r="O87" i="6"/>
  <c r="E92" i="6"/>
  <c r="P87" i="6"/>
  <c r="F92" i="6"/>
  <c r="N92" i="6"/>
  <c r="D97" i="6"/>
  <c r="O92" i="6"/>
  <c r="E97" i="6"/>
  <c r="P92" i="6"/>
  <c r="F97" i="6"/>
  <c r="N97" i="6"/>
  <c r="D102" i="6"/>
  <c r="O97" i="6"/>
  <c r="E102" i="6"/>
  <c r="P97" i="6"/>
  <c r="F102" i="6"/>
  <c r="N102" i="6"/>
  <c r="D107" i="6"/>
  <c r="O102" i="6"/>
  <c r="E107" i="6"/>
  <c r="P102" i="6"/>
  <c r="F107" i="6"/>
  <c r="N107" i="6"/>
  <c r="D112" i="6"/>
  <c r="O107" i="6"/>
  <c r="E112" i="6"/>
  <c r="P107" i="6"/>
  <c r="F112" i="6"/>
  <c r="N112" i="6"/>
  <c r="D117" i="6"/>
  <c r="O112" i="6"/>
  <c r="E117" i="6"/>
  <c r="P112" i="6"/>
  <c r="F117" i="6"/>
  <c r="N117" i="6"/>
  <c r="D122" i="6"/>
  <c r="O117" i="6"/>
  <c r="E122" i="6"/>
  <c r="P117" i="6"/>
  <c r="F122" i="6"/>
  <c r="P122" i="6"/>
  <c r="O122" i="6"/>
  <c r="N122" i="6"/>
  <c r="K122" i="6"/>
  <c r="J122" i="6"/>
  <c r="I122" i="6"/>
  <c r="C121" i="6"/>
  <c r="K119" i="6"/>
  <c r="J119" i="6"/>
  <c r="I119" i="6"/>
  <c r="K118" i="6"/>
  <c r="J118" i="6"/>
  <c r="I118" i="6"/>
  <c r="K117" i="6"/>
  <c r="J117" i="6"/>
  <c r="I117" i="6"/>
  <c r="C116" i="6"/>
  <c r="K114" i="6"/>
  <c r="J114" i="6"/>
  <c r="I114" i="6"/>
  <c r="K113" i="6"/>
  <c r="J113" i="6"/>
  <c r="I113" i="6"/>
  <c r="K112" i="6"/>
  <c r="J112" i="6"/>
  <c r="I112" i="6"/>
  <c r="C111" i="6"/>
  <c r="K109" i="6"/>
  <c r="J109" i="6"/>
  <c r="I109" i="6"/>
  <c r="K108" i="6"/>
  <c r="J108" i="6"/>
  <c r="I108" i="6"/>
  <c r="K107" i="6"/>
  <c r="J107" i="6"/>
  <c r="I107" i="6"/>
  <c r="C106" i="6"/>
  <c r="K104" i="6"/>
  <c r="J104" i="6"/>
  <c r="I104" i="6"/>
  <c r="K103" i="6"/>
  <c r="J103" i="6"/>
  <c r="I103" i="6"/>
  <c r="K102" i="6"/>
  <c r="J102" i="6"/>
  <c r="I102" i="6"/>
  <c r="C101" i="6"/>
  <c r="K99" i="6"/>
  <c r="J99" i="6"/>
  <c r="I99" i="6"/>
  <c r="K98" i="6"/>
  <c r="J98" i="6"/>
  <c r="I98" i="6"/>
  <c r="K97" i="6"/>
  <c r="J97" i="6"/>
  <c r="I97" i="6"/>
  <c r="C96" i="6"/>
  <c r="K94" i="6"/>
  <c r="J94" i="6"/>
  <c r="I94" i="6"/>
  <c r="K93" i="6"/>
  <c r="J93" i="6"/>
  <c r="I93" i="6"/>
  <c r="K92" i="6"/>
  <c r="J92" i="6"/>
  <c r="I92" i="6"/>
  <c r="C91" i="6"/>
  <c r="K89" i="6"/>
  <c r="J89" i="6"/>
  <c r="I89" i="6"/>
  <c r="K88" i="6"/>
  <c r="J88" i="6"/>
  <c r="I88" i="6"/>
  <c r="K87" i="6"/>
  <c r="J87" i="6"/>
  <c r="I87" i="6"/>
  <c r="C86" i="6"/>
  <c r="K84" i="6"/>
  <c r="J84" i="6"/>
  <c r="I84" i="6"/>
  <c r="K83" i="6"/>
  <c r="J83" i="6"/>
  <c r="I83" i="6"/>
  <c r="K82" i="6"/>
  <c r="J82" i="6"/>
  <c r="I82" i="6"/>
  <c r="C81" i="6"/>
  <c r="K79" i="6"/>
  <c r="J79" i="6"/>
  <c r="I79" i="6"/>
  <c r="K78" i="6"/>
  <c r="J78" i="6"/>
  <c r="I78" i="6"/>
  <c r="K77" i="6"/>
  <c r="J77" i="6"/>
  <c r="I77" i="6"/>
  <c r="C76" i="6"/>
  <c r="K74" i="6"/>
  <c r="J74" i="6"/>
  <c r="I74" i="6"/>
  <c r="K73" i="6"/>
  <c r="J73" i="6"/>
  <c r="I73" i="6"/>
  <c r="K72" i="6"/>
  <c r="J72" i="6"/>
  <c r="I72" i="6"/>
  <c r="C71" i="6"/>
  <c r="K69" i="6"/>
  <c r="J69" i="6"/>
  <c r="I69" i="6"/>
  <c r="K68" i="6"/>
  <c r="J68" i="6"/>
  <c r="I68" i="6"/>
  <c r="K67" i="6"/>
  <c r="J67" i="6"/>
  <c r="I67" i="6"/>
  <c r="C66" i="6"/>
  <c r="K64" i="6"/>
  <c r="J64" i="6"/>
  <c r="I64" i="6"/>
  <c r="K63" i="6"/>
  <c r="J63" i="6"/>
  <c r="I63" i="6"/>
  <c r="K62" i="6"/>
  <c r="J62" i="6"/>
  <c r="I62" i="6"/>
  <c r="C61" i="6"/>
  <c r="K59" i="6"/>
  <c r="J59" i="6"/>
  <c r="I59" i="6"/>
  <c r="K58" i="6"/>
  <c r="J58" i="6"/>
  <c r="I58" i="6"/>
  <c r="K57" i="6"/>
  <c r="J57" i="6"/>
  <c r="I57" i="6"/>
  <c r="C56" i="6"/>
  <c r="K54" i="6"/>
  <c r="J54" i="6"/>
  <c r="I54" i="6"/>
  <c r="K53" i="6"/>
  <c r="J53" i="6"/>
  <c r="I53" i="6"/>
  <c r="K52" i="6"/>
  <c r="J52" i="6"/>
  <c r="I52" i="6"/>
  <c r="C51" i="6"/>
  <c r="K49" i="6"/>
  <c r="J49" i="6"/>
  <c r="I49" i="6"/>
  <c r="K48" i="6"/>
  <c r="J48" i="6"/>
  <c r="I48" i="6"/>
  <c r="K47" i="6"/>
  <c r="J47" i="6"/>
  <c r="I47" i="6"/>
  <c r="C46" i="6"/>
  <c r="K22" i="6"/>
  <c r="K23" i="6"/>
  <c r="K24" i="6"/>
  <c r="P22" i="6"/>
  <c r="K35" i="6"/>
  <c r="P23" i="6"/>
  <c r="K36" i="6"/>
  <c r="P24" i="6"/>
  <c r="K37" i="6"/>
  <c r="P35" i="6"/>
  <c r="S37" i="6"/>
  <c r="C24" i="6"/>
  <c r="H24" i="6"/>
  <c r="M24" i="6"/>
  <c r="M29" i="6"/>
  <c r="M37" i="6"/>
  <c r="R37" i="6"/>
  <c r="P37" i="6"/>
  <c r="J22" i="6"/>
  <c r="J23" i="6"/>
  <c r="J24" i="6"/>
  <c r="O22" i="6"/>
  <c r="J35" i="6"/>
  <c r="O23" i="6"/>
  <c r="J36" i="6"/>
  <c r="O24" i="6"/>
  <c r="J37" i="6"/>
  <c r="O37" i="6"/>
  <c r="I35" i="6"/>
  <c r="N23" i="6"/>
  <c r="I36" i="6"/>
  <c r="N24" i="6"/>
  <c r="I37" i="6"/>
  <c r="N37" i="6"/>
  <c r="H29" i="6"/>
  <c r="H37" i="6"/>
  <c r="O35" i="6"/>
  <c r="S36" i="6"/>
  <c r="C23" i="6"/>
  <c r="H23" i="6"/>
  <c r="M23" i="6"/>
  <c r="M28" i="6"/>
  <c r="M36" i="6"/>
  <c r="R36" i="6"/>
  <c r="P36" i="6"/>
  <c r="O36" i="6"/>
  <c r="N36" i="6"/>
  <c r="H28" i="6"/>
  <c r="H36" i="6"/>
  <c r="N35" i="6"/>
  <c r="S35" i="6"/>
  <c r="C22" i="6"/>
  <c r="H22" i="6"/>
  <c r="M22" i="6"/>
  <c r="M27" i="6"/>
  <c r="M35" i="6"/>
  <c r="R35" i="6"/>
  <c r="H27" i="6"/>
  <c r="H35" i="6"/>
  <c r="F21" i="6"/>
  <c r="K21" i="6"/>
  <c r="P21" i="6"/>
  <c r="P26" i="6"/>
  <c r="P34" i="6"/>
  <c r="E21" i="6"/>
  <c r="J21" i="6"/>
  <c r="O21" i="6"/>
  <c r="O26" i="6"/>
  <c r="O34" i="6"/>
  <c r="D21" i="6"/>
  <c r="I21" i="6"/>
  <c r="N21" i="6"/>
  <c r="N26" i="6"/>
  <c r="N34" i="6"/>
  <c r="K26" i="6"/>
  <c r="K34" i="6"/>
  <c r="J26" i="6"/>
  <c r="J34" i="6"/>
  <c r="I26" i="6"/>
  <c r="I34" i="6"/>
  <c r="H34" i="6"/>
  <c r="F26" i="6"/>
  <c r="F34" i="6"/>
  <c r="E26" i="6"/>
  <c r="E34" i="6"/>
  <c r="D26" i="6"/>
  <c r="D34" i="6"/>
  <c r="P27" i="6"/>
  <c r="S29" i="6"/>
  <c r="R29" i="6"/>
  <c r="P29" i="6"/>
  <c r="O29" i="6"/>
  <c r="N29" i="6"/>
  <c r="C29" i="6"/>
  <c r="O27" i="6"/>
  <c r="S28" i="6"/>
  <c r="R28" i="6"/>
  <c r="P28" i="6"/>
  <c r="O28" i="6"/>
  <c r="N28" i="6"/>
  <c r="C28" i="6"/>
  <c r="N27" i="6"/>
  <c r="S27" i="6"/>
  <c r="R27" i="6"/>
  <c r="C27" i="6"/>
  <c r="H33" i="5"/>
  <c r="L29" i="5"/>
  <c r="I29" i="5"/>
  <c r="J15" i="4"/>
  <c r="C11" i="4"/>
  <c r="H21" i="3"/>
  <c r="H20" i="3"/>
  <c r="J19" i="3"/>
  <c r="I19" i="3"/>
  <c r="J18" i="3"/>
  <c r="I18" i="3"/>
  <c r="P21" i="2"/>
  <c r="L19" i="2"/>
  <c r="L17" i="2"/>
  <c r="L14" i="2"/>
  <c r="J22" i="1"/>
  <c r="C19" i="1"/>
  <c r="J18" i="1"/>
  <c r="H18" i="1"/>
  <c r="C18" i="1"/>
</calcChain>
</file>

<file path=xl/sharedStrings.xml><?xml version="1.0" encoding="utf-8"?>
<sst xmlns="http://schemas.openxmlformats.org/spreadsheetml/2006/main" count="908" uniqueCount="348">
  <si>
    <t>CEP de único producto</t>
  </si>
  <si>
    <t>D/mes</t>
  </si>
  <si>
    <t>u/mes</t>
  </si>
  <si>
    <t>a)</t>
  </si>
  <si>
    <t>Q =</t>
  </si>
  <si>
    <t>2*D*C3</t>
  </si>
  <si>
    <t>=</t>
  </si>
  <si>
    <t>Unidades</t>
  </si>
  <si>
    <t>C3</t>
  </si>
  <si>
    <t>$/pedido</t>
  </si>
  <si>
    <t>C1</t>
  </si>
  <si>
    <t>C4</t>
  </si>
  <si>
    <t>$/u</t>
  </si>
  <si>
    <t>i</t>
  </si>
  <si>
    <t>anual</t>
  </si>
  <si>
    <t>b)</t>
  </si>
  <si>
    <t>n =</t>
  </si>
  <si>
    <t>D</t>
  </si>
  <si>
    <t>Lotes / año</t>
  </si>
  <si>
    <t>LT</t>
  </si>
  <si>
    <t>días</t>
  </si>
  <si>
    <t>Q</t>
  </si>
  <si>
    <t>Días por año</t>
  </si>
  <si>
    <t>$/u/año</t>
  </si>
  <si>
    <t xml:space="preserve">Punto reorden = </t>
  </si>
  <si>
    <t>u</t>
  </si>
  <si>
    <t>D/año</t>
  </si>
  <si>
    <t>u / año</t>
  </si>
  <si>
    <t>c)</t>
  </si>
  <si>
    <t>Tiempo Ciclo =</t>
  </si>
  <si>
    <t>d)</t>
  </si>
  <si>
    <t>CTI = D*C4+C1*Q/2+C3*D/Q =</t>
  </si>
  <si>
    <t>$/año</t>
  </si>
  <si>
    <t>Comprar</t>
  </si>
  <si>
    <t>Pedir</t>
  </si>
  <si>
    <t>Mantener</t>
  </si>
  <si>
    <t>CEP con Faltante</t>
  </si>
  <si>
    <t>u/año</t>
  </si>
  <si>
    <t>Q* =</t>
  </si>
  <si>
    <t>*</t>
  </si>
  <si>
    <t>C1 + C2</t>
  </si>
  <si>
    <t>/u / año</t>
  </si>
  <si>
    <t>C2</t>
  </si>
  <si>
    <t>T compra</t>
  </si>
  <si>
    <t>min / orden</t>
  </si>
  <si>
    <t>I Max =</t>
  </si>
  <si>
    <t>Costo jornal</t>
  </si>
  <si>
    <t>$/hora</t>
  </si>
  <si>
    <t>Costos pedido</t>
  </si>
  <si>
    <t>$/orden</t>
  </si>
  <si>
    <t>S =</t>
  </si>
  <si>
    <t xml:space="preserve"> Q* - I Max </t>
  </si>
  <si>
    <t xml:space="preserve"> = </t>
  </si>
  <si>
    <t xml:space="preserve">CTI = </t>
  </si>
  <si>
    <t>C3 * D</t>
  </si>
  <si>
    <t>+</t>
  </si>
  <si>
    <t>D * C4</t>
  </si>
  <si>
    <t>Imax^2 * C1</t>
  </si>
  <si>
    <t>S^2 * C2</t>
  </si>
  <si>
    <t>$/día / u faltante</t>
  </si>
  <si>
    <t>Q*</t>
  </si>
  <si>
    <t>2 * Q*</t>
  </si>
  <si>
    <t xml:space="preserve">D diaria  = </t>
  </si>
  <si>
    <t>u / día</t>
  </si>
  <si>
    <t>Días</t>
  </si>
  <si>
    <t>/ año</t>
  </si>
  <si>
    <t xml:space="preserve">U vendidas en LT = </t>
  </si>
  <si>
    <t xml:space="preserve">R = </t>
  </si>
  <si>
    <t>Cuando deba casi 2 unidades, tengo que hacer el nuevo pedido</t>
  </si>
  <si>
    <t xml:space="preserve">Gráfico = </t>
  </si>
  <si>
    <t>CEP con Descuento por Cantidad</t>
  </si>
  <si>
    <t>CTI = D*C4+C1*Q/2+C3*D/Q</t>
  </si>
  <si>
    <t>Tipo de Descuento</t>
  </si>
  <si>
    <t>0 a 999</t>
  </si>
  <si>
    <t>1000 a 2499</t>
  </si>
  <si>
    <t>2500 o +</t>
  </si>
  <si>
    <t>Q opt</t>
  </si>
  <si>
    <t>Q a utilizar</t>
  </si>
  <si>
    <t>CTI / año</t>
  </si>
  <si>
    <t>CEP con Producción de Monoproducto</t>
  </si>
  <si>
    <t>d =</t>
  </si>
  <si>
    <t>u/día</t>
  </si>
  <si>
    <t>p=</t>
  </si>
  <si>
    <t>C1*(1-d/p)</t>
  </si>
  <si>
    <t>C1 =</t>
  </si>
  <si>
    <t>C3 =</t>
  </si>
  <si>
    <t>$ / lote</t>
  </si>
  <si>
    <t>Días producción</t>
  </si>
  <si>
    <t>/año</t>
  </si>
  <si>
    <t>D =</t>
  </si>
  <si>
    <t>Duración ciclo</t>
  </si>
  <si>
    <t>P =</t>
  </si>
  <si>
    <t xml:space="preserve">Lead Time </t>
  </si>
  <si>
    <t>día</t>
  </si>
  <si>
    <t>Punto de reorden:</t>
  </si>
  <si>
    <t>unidades de stock</t>
  </si>
  <si>
    <t>B1</t>
  </si>
  <si>
    <t>B2</t>
  </si>
  <si>
    <t>B3</t>
  </si>
  <si>
    <t>MIN FILA</t>
  </si>
  <si>
    <t>A1</t>
  </si>
  <si>
    <t>MAX COL</t>
  </si>
  <si>
    <t>A2</t>
  </si>
  <si>
    <t>A3</t>
  </si>
  <si>
    <r>
      <rPr>
        <b/>
        <sz val="11"/>
        <color theme="1"/>
        <rFont val="Calibri"/>
        <family val="2"/>
        <scheme val="minor"/>
      </rPr>
      <t xml:space="preserve">NO HAY COINCIDENCIA </t>
    </r>
    <r>
      <rPr>
        <sz val="11"/>
        <color theme="1"/>
        <rFont val="Calibri"/>
        <family val="2"/>
        <scheme val="minor"/>
      </rPr>
      <t>-&gt; no hay punto de ensilladura, no tiene solución pura</t>
    </r>
  </si>
  <si>
    <t>Analizo estrategias dominantes:</t>
  </si>
  <si>
    <t>1 - A2 siempre va a ser mejor que A3</t>
  </si>
  <si>
    <t>2 - B1 siempre va a ser mejor que B2</t>
  </si>
  <si>
    <t>Obtengo nueva matriz de 2x2</t>
  </si>
  <si>
    <t>Ecuaciones:</t>
  </si>
  <si>
    <t>-8*P + 2*(1-P) = -3*P - 5*(1-P)</t>
  </si>
  <si>
    <t>-8*Q - 3*(1-Q) = 2*Q - 5*(1-Q)</t>
  </si>
  <si>
    <t>1 - Q</t>
  </si>
  <si>
    <t>-8P + 2 - 2P = -3P - 5 + 5P</t>
  </si>
  <si>
    <t>-8Q - 3 + 3 Q = 2Q - 5 + 5Q</t>
  </si>
  <si>
    <t>P</t>
  </si>
  <si>
    <t>1 - P</t>
  </si>
  <si>
    <t>-12P = -7</t>
  </si>
  <si>
    <t>-12Q = -2</t>
  </si>
  <si>
    <t xml:space="preserve">P = </t>
  </si>
  <si>
    <t xml:space="preserve">Q = </t>
  </si>
  <si>
    <t>1 - P =</t>
  </si>
  <si>
    <t>1 - Q =</t>
  </si>
  <si>
    <t>Valor del juego =</t>
  </si>
  <si>
    <t>Q*(-8*P + 2*(1-P)) + (1-Q)*(-3*P - 5*(1-P))</t>
  </si>
  <si>
    <t>Si bien cada jugador eligirá una estrategia mixta entre las planteadas, ganará en promedio el jugador columnas con un beneficio de 3,83</t>
  </si>
  <si>
    <t>c) Hallar estado estable</t>
  </si>
  <si>
    <t>MATRIZ</t>
  </si>
  <si>
    <t>Urbana</t>
  </si>
  <si>
    <t>Sub Ur</t>
  </si>
  <si>
    <t>Rural</t>
  </si>
  <si>
    <t>A0 = (1 ; 0 ; 0)</t>
  </si>
  <si>
    <t>Hallo P2 y multiplico por A0</t>
  </si>
  <si>
    <t>P1</t>
  </si>
  <si>
    <t>P2</t>
  </si>
  <si>
    <t>x</t>
  </si>
  <si>
    <t>A0</t>
  </si>
  <si>
    <t>Porcentajes x área:</t>
  </si>
  <si>
    <t>Nuevo A0 = (0,4 ; 0,35 ; 0,25)</t>
  </si>
  <si>
    <t>Utilizo el mismo P2 y multiplico por el Nuevo A0</t>
  </si>
  <si>
    <t>Estado Estable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</si>
  <si>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</si>
  <si>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</si>
  <si>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</si>
  <si>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</si>
  <si>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</si>
  <si>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</si>
  <si>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</si>
  <si>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</si>
  <si>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</si>
  <si>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</si>
  <si>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</si>
  <si>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</si>
  <si>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</si>
  <si>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</si>
  <si>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</si>
  <si>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</si>
  <si>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λ</t>
  </si>
  <si>
    <t>Lambda</t>
  </si>
  <si>
    <t xml:space="preserve"> / min</t>
  </si>
  <si>
    <t>tasa de arribo clientes</t>
  </si>
  <si>
    <t>/ hora</t>
  </si>
  <si>
    <t>µ</t>
  </si>
  <si>
    <t>Mu</t>
  </si>
  <si>
    <t>tasa de servicio</t>
  </si>
  <si>
    <t>ρ</t>
  </si>
  <si>
    <t>Ro</t>
  </si>
  <si>
    <t>Prob. de que una persona espere para realizar una llamada</t>
  </si>
  <si>
    <t>ρ =</t>
  </si>
  <si>
    <t xml:space="preserve">λ / µ = </t>
  </si>
  <si>
    <t>Probabilidad de hallar más de cuatro pesonas en la cola.</t>
  </si>
  <si>
    <t>Para este cálculo hallo P(0) a P(5) y por diferencia, hallo cuando haya más de 5 personas en cola</t>
  </si>
  <si>
    <t xml:space="preserve">P(0) = </t>
  </si>
  <si>
    <t>1- ρ =</t>
  </si>
  <si>
    <t>P(1) =</t>
  </si>
  <si>
    <t>ρ^1 * P(0) =</t>
  </si>
  <si>
    <t xml:space="preserve">Probabilidad 4 o + en cola = </t>
  </si>
  <si>
    <t>P(2) =</t>
  </si>
  <si>
    <t>ρ^2 * P(0) =</t>
  </si>
  <si>
    <t>P(3) =</t>
  </si>
  <si>
    <t>ρ^3 * P(0) =</t>
  </si>
  <si>
    <t>P(4) =</t>
  </si>
  <si>
    <t>ρ^4 * P(0) =</t>
  </si>
  <si>
    <t>P(5) =</t>
  </si>
  <si>
    <t>ρ^5 * P(0) =</t>
  </si>
  <si>
    <t>TOTAL</t>
  </si>
  <si>
    <t>Cant de personas en espera de realizar una llamada</t>
  </si>
  <si>
    <t>Lc =</t>
  </si>
  <si>
    <t>ρ*ρ / (1 - ρ) =</t>
  </si>
  <si>
    <t>Clientes</t>
  </si>
  <si>
    <t xml:space="preserve">d) </t>
  </si>
  <si>
    <t>Tiempo medio en la cola:</t>
  </si>
  <si>
    <t>Wc =</t>
  </si>
  <si>
    <t>ρ / (µ - λ) =</t>
  </si>
  <si>
    <t>minutos</t>
  </si>
  <si>
    <t>-&gt; no llega a diez, por lo tanto en estas condiciones no convendría la instalación</t>
  </si>
  <si>
    <t>Si Wc = 10 min -&gt;</t>
  </si>
  <si>
    <t>λ + λ / (Wc*µ) = µ   -&gt;</t>
  </si>
  <si>
    <t xml:space="preserve">λ = </t>
  </si>
  <si>
    <t>µ / (1+1(Wc*µ))</t>
  </si>
  <si>
    <t>cl / min</t>
  </si>
  <si>
    <t xml:space="preserve">Wc = </t>
  </si>
  <si>
    <t>(despejo λ y reemplazo Ro en base a Mu y λ de la fórmula de Wc)</t>
  </si>
  <si>
    <t>clientes / hora</t>
  </si>
  <si>
    <t>De</t>
  </si>
  <si>
    <t>A</t>
  </si>
  <si>
    <t>NODO</t>
  </si>
  <si>
    <t>DISTANCIA</t>
  </si>
  <si>
    <t>Conexión</t>
  </si>
  <si>
    <t>Distancia</t>
  </si>
  <si>
    <t>B</t>
  </si>
  <si>
    <t>UA</t>
  </si>
  <si>
    <t>C</t>
  </si>
  <si>
    <t>UA+DAC</t>
  </si>
  <si>
    <t>UA + DAC</t>
  </si>
  <si>
    <t>UA+DAB</t>
  </si>
  <si>
    <t>UA + DAB</t>
  </si>
  <si>
    <t>UC+DCB</t>
  </si>
  <si>
    <t>UC + DCB</t>
  </si>
  <si>
    <t>E</t>
  </si>
  <si>
    <t>UB+DBD</t>
  </si>
  <si>
    <t>UB + DBD</t>
  </si>
  <si>
    <t>UC+DCD</t>
  </si>
  <si>
    <t>UC + DCD</t>
  </si>
  <si>
    <t>F</t>
  </si>
  <si>
    <t>UB+DBE</t>
  </si>
  <si>
    <t>UB + DBE</t>
  </si>
  <si>
    <t>UD+DDE</t>
  </si>
  <si>
    <t>UD + DDE</t>
  </si>
  <si>
    <t>UC+DCF</t>
  </si>
  <si>
    <t>UD + DDF</t>
  </si>
  <si>
    <t>G</t>
  </si>
  <si>
    <t>UD+DDF</t>
  </si>
  <si>
    <t>UC + DCF</t>
  </si>
  <si>
    <t>UE+DEG</t>
  </si>
  <si>
    <t>UE + DEG</t>
  </si>
  <si>
    <t>UD+DDG</t>
  </si>
  <si>
    <t>UD + DDG</t>
  </si>
  <si>
    <t>UF+DFG</t>
  </si>
  <si>
    <t>UF + DFG</t>
  </si>
  <si>
    <t>Ruta más corta: A-C-F-G</t>
  </si>
  <si>
    <t>RUTA</t>
  </si>
  <si>
    <t>A-C-F-G</t>
  </si>
  <si>
    <t>Distancia min</t>
  </si>
  <si>
    <t>Conectado</t>
  </si>
  <si>
    <t>Nada</t>
  </si>
  <si>
    <t>Comienzo en A</t>
  </si>
  <si>
    <t>No conectado</t>
  </si>
  <si>
    <t xml:space="preserve">A B C D E F </t>
  </si>
  <si>
    <t>Conectado: A</t>
  </si>
  <si>
    <t>Comienzo</t>
  </si>
  <si>
    <t>No conectado: B C D E F</t>
  </si>
  <si>
    <t>Uno A - D</t>
  </si>
  <si>
    <t>Conecto D</t>
  </si>
  <si>
    <t>Distancia A-D</t>
  </si>
  <si>
    <t>AD</t>
  </si>
  <si>
    <t>Conectado: A D</t>
  </si>
  <si>
    <t xml:space="preserve">B C E F </t>
  </si>
  <si>
    <t>No conectado: B C E F</t>
  </si>
  <si>
    <t>Uno A - F</t>
  </si>
  <si>
    <t>Conecto F</t>
  </si>
  <si>
    <t>Distancia A-F</t>
  </si>
  <si>
    <t>ADF</t>
  </si>
  <si>
    <t>Conectado: A D F</t>
  </si>
  <si>
    <t>B C E</t>
  </si>
  <si>
    <t xml:space="preserve">No conectado: B C E </t>
  </si>
  <si>
    <t>Uno B-F</t>
  </si>
  <si>
    <t>Conecto B</t>
  </si>
  <si>
    <t>Distancia B-F</t>
  </si>
  <si>
    <t>ABDF</t>
  </si>
  <si>
    <t>Conectado: A B D F</t>
  </si>
  <si>
    <t>C E</t>
  </si>
  <si>
    <t xml:space="preserve">No conectado: C E </t>
  </si>
  <si>
    <t>Uno B-C</t>
  </si>
  <si>
    <t>Conecto C</t>
  </si>
  <si>
    <t>Distancia B-C</t>
  </si>
  <si>
    <t>ABCDF</t>
  </si>
  <si>
    <t>Conectado: A B C D F</t>
  </si>
  <si>
    <t xml:space="preserve">No conectado: E </t>
  </si>
  <si>
    <t>Uno B-E</t>
  </si>
  <si>
    <t>Conecto E</t>
  </si>
  <si>
    <t>Distancia B-E</t>
  </si>
  <si>
    <t>Conectado: A B C D E F</t>
  </si>
  <si>
    <t>Distancia Min</t>
  </si>
  <si>
    <t>No conectado:</t>
  </si>
  <si>
    <t>DISTANCIA TOTAL</t>
  </si>
  <si>
    <t>CONEXIONES: A-D ; A-F ; B-C ; B-E ; B-F</t>
  </si>
  <si>
    <t>DE</t>
  </si>
  <si>
    <t>Flujo</t>
  </si>
  <si>
    <t>S</t>
  </si>
  <si>
    <t>v1</t>
  </si>
  <si>
    <t>v2</t>
  </si>
  <si>
    <t>v3</t>
  </si>
  <si>
    <t>v4</t>
  </si>
  <si>
    <t>t</t>
  </si>
  <si>
    <t>NRO</t>
  </si>
  <si>
    <t>Flujo min</t>
  </si>
  <si>
    <t>s - v1 - v3 - t</t>
  </si>
  <si>
    <t>NUEVO FLUJO</t>
  </si>
  <si>
    <t>s - v1 - v2 - v4 - v3 - t</t>
  </si>
  <si>
    <t>s - v2 - v4 - v3 - t</t>
  </si>
  <si>
    <t>s - v2 - v4 - t</t>
  </si>
  <si>
    <t xml:space="preserve">FLUJO MAXIMO = </t>
  </si>
  <si>
    <t>LLEGADA</t>
  </si>
  <si>
    <t>SERVICIO</t>
  </si>
  <si>
    <t>Ritmo de Llegadas</t>
  </si>
  <si>
    <t>DÍA</t>
  </si>
  <si>
    <t>Número Pendiente del día anterior</t>
  </si>
  <si>
    <t>N° Aleatorio</t>
  </si>
  <si>
    <t>N° LLEGADAS</t>
  </si>
  <si>
    <t>Total Pendiente de Descarga</t>
  </si>
  <si>
    <t>N°Aleatorio</t>
  </si>
  <si>
    <t>Número Descargado</t>
  </si>
  <si>
    <t>Llegadas</t>
  </si>
  <si>
    <t>Probabilidad</t>
  </si>
  <si>
    <t>Prob Acum</t>
  </si>
  <si>
    <t>Intervalo</t>
  </si>
  <si>
    <t>0-13</t>
  </si>
  <si>
    <t>14-30</t>
  </si>
  <si>
    <t>31-45</t>
  </si>
  <si>
    <t>46-70</t>
  </si>
  <si>
    <t>71-90</t>
  </si>
  <si>
    <t>91-99</t>
  </si>
  <si>
    <t>Ritmo de descarga</t>
  </si>
  <si>
    <t>1-5</t>
  </si>
  <si>
    <t>6-20</t>
  </si>
  <si>
    <t>21-70</t>
  </si>
  <si>
    <t>91-100</t>
  </si>
  <si>
    <t>Total Demoras</t>
  </si>
  <si>
    <t>Total llegadas</t>
  </si>
  <si>
    <t>Total descargas</t>
  </si>
  <si>
    <t>La solución más óptima es pedir 1.000 unidades por pedido, con un costo de $24.980 por año.</t>
  </si>
  <si>
    <t>A2b</t>
  </si>
  <si>
    <t>A0b</t>
  </si>
  <si>
    <t>min / cliente</t>
  </si>
  <si>
    <t>1 / lambda</t>
  </si>
  <si>
    <t>clientes / min</t>
  </si>
  <si>
    <t>Tasa de ocupación</t>
  </si>
  <si>
    <t>P(0)</t>
  </si>
  <si>
    <t>P(1)</t>
  </si>
  <si>
    <t>1 persona siendo atendida</t>
  </si>
  <si>
    <t>P (2)</t>
  </si>
  <si>
    <t>1 atendida + 1 espeando</t>
  </si>
  <si>
    <t>P (3)</t>
  </si>
  <si>
    <t>1 atendida + 2 espeando</t>
  </si>
  <si>
    <t>Nadie</t>
  </si>
  <si>
    <t>1 atendida + 4 espeando</t>
  </si>
  <si>
    <t>1 atendida + 3 espeando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</si>
</sst>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0.0"/>
    <numFmt numFmtId="168" formatCode="0.00000"/>
    <numFmt numFmtId="169" formatCode="0.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trike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48135"/>
        <bgColor rgb="FF548135"/>
      </patternFill>
    </fill>
    <fill>
      <patternFill patternType="solid">
        <fgColor rgb="FFFFD965"/>
        <bgColor rgb="FFFFD965"/>
      </patternFill>
    </fill>
    <fill>
      <patternFill patternType="solid">
        <fgColor rgb="FF9CC2E5"/>
        <bgColor rgb="FF9CC2E5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29">
    <xf numFmtId="0" fontId="0" fillId="0" borderId="0" xfId="0"/>
    <xf numFmtId="0" fontId="4" fillId="2" borderId="0" xfId="0" applyFont="1" applyFill="1"/>
    <xf numFmtId="165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3" fillId="3" borderId="1" xfId="1" applyFont="1" applyFill="1" applyBorder="1" applyAlignment="1">
      <alignment horizontal="center"/>
    </xf>
    <xf numFmtId="0" fontId="3" fillId="3" borderId="2" xfId="0" applyFon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0" xfId="0" applyNumberFormat="1"/>
    <xf numFmtId="43" fontId="3" fillId="3" borderId="5" xfId="1" applyFont="1" applyFill="1" applyBorder="1" applyAlignment="1">
      <alignment horizontal="center"/>
    </xf>
    <xf numFmtId="165" fontId="0" fillId="0" borderId="0" xfId="0" applyNumberFormat="1"/>
    <xf numFmtId="166" fontId="3" fillId="3" borderId="1" xfId="1" applyNumberFormat="1" applyFont="1" applyFill="1" applyBorder="1" applyAlignment="1">
      <alignment horizontal="center"/>
    </xf>
    <xf numFmtId="166" fontId="3" fillId="0" borderId="0" xfId="1" applyNumberFormat="1" applyFont="1"/>
    <xf numFmtId="0" fontId="3" fillId="0" borderId="0" xfId="0" applyFont="1"/>
    <xf numFmtId="167" fontId="3" fillId="3" borderId="1" xfId="0" applyNumberFormat="1" applyFont="1" applyFill="1" applyBorder="1" applyAlignment="1">
      <alignment horizontal="center"/>
    </xf>
    <xf numFmtId="168" fontId="0" fillId="0" borderId="0" xfId="0" applyNumberFormat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7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2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7" xfId="0" applyBorder="1"/>
    <xf numFmtId="167" fontId="0" fillId="0" borderId="8" xfId="1" applyNumberFormat="1" applyFont="1" applyBorder="1" applyAlignment="1">
      <alignment horizontal="center"/>
    </xf>
    <xf numFmtId="0" fontId="3" fillId="0" borderId="6" xfId="0" applyFont="1" applyBorder="1"/>
    <xf numFmtId="167" fontId="0" fillId="0" borderId="6" xfId="0" applyNumberFormat="1" applyBorder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0" fontId="3" fillId="0" borderId="7" xfId="0" applyFont="1" applyBorder="1"/>
    <xf numFmtId="3" fontId="0" fillId="0" borderId="7" xfId="0" applyNumberFormat="1" applyBorder="1" applyAlignment="1">
      <alignment horizontal="center"/>
    </xf>
    <xf numFmtId="3" fontId="3" fillId="4" borderId="7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164" fontId="0" fillId="0" borderId="0" xfId="1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center"/>
    </xf>
    <xf numFmtId="165" fontId="3" fillId="0" borderId="0" xfId="0" applyNumberFormat="1" applyFont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quotePrefix="1"/>
    <xf numFmtId="0" fontId="3" fillId="0" borderId="9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3" fillId="4" borderId="1" xfId="0" applyFont="1" applyFill="1" applyBorder="1"/>
    <xf numFmtId="2" fontId="3" fillId="4" borderId="2" xfId="0" applyNumberFormat="1" applyFont="1" applyFill="1" applyBorder="1" applyAlignment="1">
      <alignment horizontal="center"/>
    </xf>
    <xf numFmtId="43" fontId="0" fillId="0" borderId="0" xfId="1" applyFont="1"/>
    <xf numFmtId="2" fontId="0" fillId="0" borderId="0" xfId="0" applyNumberForma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4" xfId="0" applyFont="1" applyFill="1" applyBorder="1"/>
    <xf numFmtId="2" fontId="2" fillId="5" borderId="0" xfId="0" applyNumberFormat="1" applyFont="1" applyFill="1" applyAlignment="1">
      <alignment horizontal="center"/>
    </xf>
    <xf numFmtId="9" fontId="3" fillId="4" borderId="15" xfId="2" applyFont="1" applyFill="1" applyBorder="1" applyAlignment="1">
      <alignment horizontal="center"/>
    </xf>
    <xf numFmtId="9" fontId="3" fillId="4" borderId="16" xfId="2" applyFont="1" applyFill="1" applyBorder="1" applyAlignment="1">
      <alignment horizontal="center"/>
    </xf>
    <xf numFmtId="9" fontId="3" fillId="4" borderId="17" xfId="2" applyFont="1" applyFill="1" applyBorder="1" applyAlignment="1">
      <alignment horizontal="center"/>
    </xf>
    <xf numFmtId="9" fontId="3" fillId="4" borderId="18" xfId="2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2" fillId="0" borderId="0" xfId="0" applyFont="1"/>
    <xf numFmtId="0" fontId="5" fillId="0" borderId="0" xfId="0" applyFont="1"/>
    <xf numFmtId="169" fontId="0" fillId="0" borderId="0" xfId="0" applyNumberFormat="1"/>
    <xf numFmtId="9" fontId="0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9" fontId="3" fillId="4" borderId="2" xfId="2" applyFont="1" applyFill="1" applyBorder="1" applyAlignment="1">
      <alignment horizontal="center"/>
    </xf>
    <xf numFmtId="9" fontId="0" fillId="0" borderId="0" xfId="0" applyNumberFormat="1"/>
    <xf numFmtId="0" fontId="6" fillId="4" borderId="1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10" fontId="3" fillId="4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9" fontId="3" fillId="0" borderId="0" xfId="0" applyNumberFormat="1" applyFont="1"/>
    <xf numFmtId="2" fontId="3" fillId="4" borderId="5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7" fillId="0" borderId="0" xfId="0" applyFont="1" applyAlignment="1">
      <alignment vertical="center"/>
    </xf>
    <xf numFmtId="10" fontId="3" fillId="0" borderId="0" xfId="2" applyNumberFormat="1" applyFont="1"/>
    <xf numFmtId="0" fontId="3" fillId="7" borderId="0" xfId="0" applyFont="1" applyFill="1"/>
    <xf numFmtId="0" fontId="0" fillId="7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0" fontId="0" fillId="6" borderId="0" xfId="0" applyFill="1"/>
    <xf numFmtId="0" fontId="0" fillId="6" borderId="0" xfId="0" applyFont="1" applyFill="1"/>
    <xf numFmtId="0" fontId="0" fillId="7" borderId="0" xfId="0" applyFill="1"/>
    <xf numFmtId="0" fontId="3" fillId="0" borderId="13" xfId="0" applyFont="1" applyBorder="1"/>
    <xf numFmtId="0" fontId="3" fillId="0" borderId="14" xfId="0" applyFont="1" applyBorder="1"/>
    <xf numFmtId="0" fontId="3" fillId="0" borderId="1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/>
    <xf numFmtId="0" fontId="3" fillId="0" borderId="19" xfId="0" applyFont="1" applyBorder="1"/>
    <xf numFmtId="0" fontId="3" fillId="0" borderId="20" xfId="0" applyFont="1" applyBorder="1"/>
    <xf numFmtId="0" fontId="2" fillId="6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3" fillId="0" borderId="23" xfId="0" applyFont="1" applyBorder="1"/>
    <xf numFmtId="0" fontId="8" fillId="0" borderId="0" xfId="3" applyFont="1" applyAlignment="1"/>
    <xf numFmtId="0" fontId="9" fillId="11" borderId="0" xfId="3" applyFont="1" applyFill="1" applyBorder="1"/>
    <xf numFmtId="0" fontId="10" fillId="0" borderId="0" xfId="3" applyFont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9" fillId="9" borderId="0" xfId="3" applyFont="1" applyFill="1" applyBorder="1" applyAlignment="1">
      <alignment horizontal="center"/>
    </xf>
    <xf numFmtId="0" fontId="9" fillId="0" borderId="0" xfId="3" applyFont="1" applyBorder="1"/>
    <xf numFmtId="0" fontId="9" fillId="10" borderId="0" xfId="3" applyFont="1" applyFill="1" applyBorder="1" applyAlignment="1">
      <alignment horizontal="center"/>
    </xf>
    <xf numFmtId="0" fontId="9" fillId="12" borderId="0" xfId="3" applyFont="1" applyFill="1" applyBorder="1" applyAlignment="1">
      <alignment horizontal="center"/>
    </xf>
    <xf numFmtId="0" fontId="9" fillId="13" borderId="0" xfId="3" applyFont="1" applyFill="1" applyBorder="1" applyAlignment="1">
      <alignment horizontal="center"/>
    </xf>
    <xf numFmtId="16" fontId="9" fillId="13" borderId="0" xfId="3" quotePrefix="1" applyNumberFormat="1" applyFont="1" applyFill="1" applyBorder="1" applyAlignment="1">
      <alignment horizontal="center"/>
    </xf>
    <xf numFmtId="17" fontId="9" fillId="13" borderId="0" xfId="3" quotePrefix="1" applyNumberFormat="1" applyFont="1" applyFill="1" applyBorder="1" applyAlignment="1">
      <alignment horizontal="center"/>
    </xf>
    <xf numFmtId="0" fontId="9" fillId="13" borderId="0" xfId="3" quotePrefix="1" applyFont="1" applyFill="1" applyBorder="1" applyAlignment="1">
      <alignment horizontal="center"/>
    </xf>
    <xf numFmtId="0" fontId="3" fillId="6" borderId="0" xfId="0" applyFont="1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11" fillId="6" borderId="0" xfId="0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5" fillId="6" borderId="0" xfId="0" applyFont="1" applyFill="1"/>
    <xf numFmtId="169" fontId="0" fillId="6" borderId="0" xfId="0" applyNumberFormat="1" applyFill="1"/>
    <xf numFmtId="9" fontId="0" fillId="0" borderId="0" xfId="0" applyNumberFormat="1" applyAlignment="1">
      <alignment horizontal="center"/>
    </xf>
    <xf numFmtId="0" fontId="9" fillId="0" borderId="0" xfId="3" applyFont="1" applyAlignment="1">
      <alignment horizontal="center" vertical="center" wrapText="1"/>
    </xf>
    <xf numFmtId="0" fontId="9" fillId="11" borderId="0" xfId="3" applyFont="1" applyFill="1" applyBorder="1" applyAlignment="1">
      <alignment horizontal="center" vertical="center" wrapText="1"/>
    </xf>
    <xf numFmtId="0" fontId="10" fillId="11" borderId="0" xfId="3" applyFont="1" applyFill="1" applyBorder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963705</xdr:colOff>
      <xdr:row>12</xdr:row>
      <xdr:rowOff>74706</xdr:rowOff>
    </xdr:from>
    <xdr:to>
      <xdr:col>7</xdr:col>
      <xdr:colOff>6351</xdr:colOff>
      <xdr:row>12</xdr:row>
      <xdr:rowOff>177800</xdr:rowOff>
    </xdr:to>
    <xdr:cxnSp macro="">
      <xdr:nvCxnSpPr>
        <xdr:cNvPr id="2" name="Conector recto 1"/>
        <xdr:cNvCxnSpPr/>
      </xdr:nvCxnSpPr>
      <xdr:spPr>
        <a:xfrm flipH="1" flipV="1">
          <a:off x="3656105" y="2335306"/>
          <a:ext cx="198346" cy="10309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</xdr:colOff>
      <xdr:row>1</xdr:row>
      <xdr:rowOff>0</xdr:rowOff>
    </xdr:from>
    <xdr:to>
      <xdr:col>9</xdr:col>
      <xdr:colOff>134472</xdr:colOff>
      <xdr:row>10</xdr:row>
      <xdr:rowOff>181886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34950"/>
          <a:ext cx="4941421" cy="18392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596718</xdr:colOff>
      <xdr:row>9</xdr:row>
      <xdr:rowOff>172103</xdr:rowOff>
    </xdr:to>
    <xdr:pic>
      <xdr:nvPicPr>
        <xdr:cNvPr id="2" name="Marcador de contenido 3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09600" cy="1867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635000</xdr:colOff>
      <xdr:row>14</xdr:row>
      <xdr:rowOff>88900</xdr:rowOff>
    </xdr:from>
    <xdr:to>
      <xdr:col>7</xdr:col>
      <xdr:colOff>6350</xdr:colOff>
      <xdr:row>14</xdr:row>
      <xdr:rowOff>177800</xdr:rowOff>
    </xdr:to>
    <xdr:cxnSp macro="">
      <xdr:nvCxnSpPr>
        <xdr:cNvPr id="2" name="Conector recto 1"/>
        <xdr:cNvCxnSpPr/>
      </xdr:nvCxnSpPr>
      <xdr:spPr>
        <a:xfrm flipH="1" flipV="1">
          <a:off x="3606800" y="2717800"/>
          <a:ext cx="101600" cy="88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</xdr:row>
      <xdr:rowOff>0</xdr:rowOff>
    </xdr:from>
    <xdr:to>
      <xdr:col>11</xdr:col>
      <xdr:colOff>303588</xdr:colOff>
      <xdr:row>12</xdr:row>
      <xdr:rowOff>52294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4950"/>
          <a:ext cx="5624888" cy="2077944"/>
        </a:xfrm>
        <a:prstGeom prst="rect">
          <a:avLst/>
        </a:prstGeom>
      </xdr:spPr>
    </xdr:pic>
    <xdr:clientData/>
  </xdr:twoCellAnchor>
  <xdr:twoCellAnchor>
    <xdr:from>
      <xdr:col>8</xdr:col>
      <xdr:colOff>635000</xdr:colOff>
      <xdr:row>14</xdr:row>
      <xdr:rowOff>88900</xdr:rowOff>
    </xdr:from>
    <xdr:to>
      <xdr:col>9</xdr:col>
      <xdr:colOff>6350</xdr:colOff>
      <xdr:row>14</xdr:row>
      <xdr:rowOff>177800</xdr:rowOff>
    </xdr:to>
    <xdr:cxnSp macro="">
      <xdr:nvCxnSpPr>
        <xdr:cNvPr id="4" name="Conector recto 3"/>
        <xdr:cNvCxnSpPr/>
      </xdr:nvCxnSpPr>
      <xdr:spPr>
        <a:xfrm flipH="1" flipV="1">
          <a:off x="4470400" y="2717800"/>
          <a:ext cx="6350" cy="88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104588</xdr:colOff>
      <xdr:row>14</xdr:row>
      <xdr:rowOff>97118</xdr:rowOff>
    </xdr:from>
    <xdr:to>
      <xdr:col>9</xdr:col>
      <xdr:colOff>2999</xdr:colOff>
      <xdr:row>15</xdr:row>
      <xdr:rowOff>4860</xdr:rowOff>
    </xdr:to>
    <xdr:cxnSp macro="">
      <xdr:nvCxnSpPr>
        <xdr:cNvPr id="5" name="Conector recto 4"/>
        <xdr:cNvCxnSpPr/>
      </xdr:nvCxnSpPr>
      <xdr:spPr>
        <a:xfrm flipH="1" flipV="1">
          <a:off x="4378138" y="2726018"/>
          <a:ext cx="95261" cy="918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635000</xdr:colOff>
      <xdr:row>17</xdr:row>
      <xdr:rowOff>88900</xdr:rowOff>
    </xdr:from>
    <xdr:to>
      <xdr:col>7</xdr:col>
      <xdr:colOff>6350</xdr:colOff>
      <xdr:row>17</xdr:row>
      <xdr:rowOff>177800</xdr:rowOff>
    </xdr:to>
    <xdr:cxnSp macro="">
      <xdr:nvCxnSpPr>
        <xdr:cNvPr id="6" name="Conector recto 5"/>
        <xdr:cNvCxnSpPr/>
      </xdr:nvCxnSpPr>
      <xdr:spPr>
        <a:xfrm flipH="1" flipV="1">
          <a:off x="3606800" y="3270250"/>
          <a:ext cx="101600" cy="88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635000</xdr:colOff>
      <xdr:row>17</xdr:row>
      <xdr:rowOff>88900</xdr:rowOff>
    </xdr:from>
    <xdr:to>
      <xdr:col>9</xdr:col>
      <xdr:colOff>6350</xdr:colOff>
      <xdr:row>17</xdr:row>
      <xdr:rowOff>177800</xdr:rowOff>
    </xdr:to>
    <xdr:cxnSp macro="">
      <xdr:nvCxnSpPr>
        <xdr:cNvPr id="7" name="Conector recto 6"/>
        <xdr:cNvCxnSpPr/>
      </xdr:nvCxnSpPr>
      <xdr:spPr>
        <a:xfrm flipH="1" flipV="1">
          <a:off x="4470400" y="3270250"/>
          <a:ext cx="6350" cy="88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104588</xdr:colOff>
      <xdr:row>17</xdr:row>
      <xdr:rowOff>97118</xdr:rowOff>
    </xdr:from>
    <xdr:to>
      <xdr:col>9</xdr:col>
      <xdr:colOff>2999</xdr:colOff>
      <xdr:row>18</xdr:row>
      <xdr:rowOff>4860</xdr:rowOff>
    </xdr:to>
    <xdr:cxnSp macro="">
      <xdr:nvCxnSpPr>
        <xdr:cNvPr id="8" name="Conector recto 7"/>
        <xdr:cNvCxnSpPr/>
      </xdr:nvCxnSpPr>
      <xdr:spPr>
        <a:xfrm flipH="1" flipV="1">
          <a:off x="4378138" y="3278468"/>
          <a:ext cx="95261" cy="9189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95197</xdr:colOff>
      <xdr:row>27</xdr:row>
      <xdr:rowOff>164354</xdr:rowOff>
    </xdr:from>
    <xdr:to>
      <xdr:col>16</xdr:col>
      <xdr:colOff>389002</xdr:colOff>
      <xdr:row>45</xdr:row>
      <xdr:rowOff>36388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7247" y="5187204"/>
          <a:ext cx="5265855" cy="31867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635000</xdr:colOff>
      <xdr:row>3</xdr:row>
      <xdr:rowOff>88900</xdr:rowOff>
    </xdr:from>
    <xdr:to>
      <xdr:col>14</xdr:col>
      <xdr:colOff>6350</xdr:colOff>
      <xdr:row>3</xdr:row>
      <xdr:rowOff>177800</xdr:rowOff>
    </xdr:to>
    <xdr:cxnSp macro="">
      <xdr:nvCxnSpPr>
        <xdr:cNvPr id="2" name="Conector recto 1"/>
        <xdr:cNvCxnSpPr/>
      </xdr:nvCxnSpPr>
      <xdr:spPr>
        <a:xfrm flipH="1" flipV="1">
          <a:off x="8604250" y="692150"/>
          <a:ext cx="133350" cy="88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</xdr:colOff>
      <xdr:row>1</xdr:row>
      <xdr:rowOff>0</xdr:rowOff>
    </xdr:from>
    <xdr:to>
      <xdr:col>8</xdr:col>
      <xdr:colOff>3257</xdr:colOff>
      <xdr:row>13</xdr:row>
      <xdr:rowOff>17528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34950"/>
          <a:ext cx="4336303" cy="22273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635000</xdr:colOff>
      <xdr:row>6</xdr:row>
      <xdr:rowOff>88900</xdr:rowOff>
    </xdr:from>
    <xdr:to>
      <xdr:col>7</xdr:col>
      <xdr:colOff>6350</xdr:colOff>
      <xdr:row>6</xdr:row>
      <xdr:rowOff>177800</xdr:rowOff>
    </xdr:to>
    <xdr:cxnSp macro="">
      <xdr:nvCxnSpPr>
        <xdr:cNvPr id="2" name="Conector recto 1"/>
        <xdr:cNvCxnSpPr/>
      </xdr:nvCxnSpPr>
      <xdr:spPr>
        <a:xfrm flipH="1" flipV="1">
          <a:off x="3009900" y="1244600"/>
          <a:ext cx="82550" cy="88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</xdr:colOff>
      <xdr:row>1</xdr:row>
      <xdr:rowOff>19050</xdr:rowOff>
    </xdr:from>
    <xdr:to>
      <xdr:col>9</xdr:col>
      <xdr:colOff>146518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57175"/>
          <a:ext cx="4327992" cy="742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728383</xdr:colOff>
      <xdr:row>7</xdr:row>
      <xdr:rowOff>152928</xdr:rowOff>
    </xdr:from>
    <xdr:to>
      <xdr:col>7</xdr:col>
      <xdr:colOff>970264</xdr:colOff>
      <xdr:row>9</xdr:row>
      <xdr:rowOff>22412</xdr:rowOff>
    </xdr:to>
    <xdr:sp macro="" textlink="">
      <xdr:nvSpPr>
        <xdr:cNvPr id="2" name="Rectángulo 1"/>
        <xdr:cNvSpPr/>
      </xdr:nvSpPr>
      <xdr:spPr>
        <a:xfrm>
          <a:off x="4309783" y="337078"/>
          <a:ext cx="241881" cy="237784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741511</xdr:colOff>
      <xdr:row>6</xdr:row>
      <xdr:rowOff>156882</xdr:rowOff>
    </xdr:from>
    <xdr:to>
      <xdr:col>7</xdr:col>
      <xdr:colOff>952500</xdr:colOff>
      <xdr:row>8</xdr:row>
      <xdr:rowOff>0</xdr:rowOff>
    </xdr:to>
    <xdr:sp macro="" textlink="">
      <xdr:nvSpPr>
        <xdr:cNvPr id="3" name="Elipse 2"/>
        <xdr:cNvSpPr/>
      </xdr:nvSpPr>
      <xdr:spPr>
        <a:xfrm>
          <a:off x="4322911" y="156882"/>
          <a:ext cx="210989" cy="211418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135945</xdr:colOff>
      <xdr:row>10</xdr:row>
      <xdr:rowOff>23775</xdr:rowOff>
    </xdr:from>
    <xdr:to>
      <xdr:col>5</xdr:col>
      <xdr:colOff>333327</xdr:colOff>
      <xdr:row>11</xdr:row>
      <xdr:rowOff>23775</xdr:rowOff>
    </xdr:to>
    <xdr:sp macro="" textlink="">
      <xdr:nvSpPr>
        <xdr:cNvPr id="4" name="Elipse 3"/>
        <xdr:cNvSpPr/>
      </xdr:nvSpPr>
      <xdr:spPr>
        <a:xfrm>
          <a:off x="2129845" y="760375"/>
          <a:ext cx="197382" cy="1841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</xdr:col>
      <xdr:colOff>106333</xdr:colOff>
      <xdr:row>9</xdr:row>
      <xdr:rowOff>1899</xdr:rowOff>
    </xdr:from>
    <xdr:to>
      <xdr:col>3</xdr:col>
      <xdr:colOff>375274</xdr:colOff>
      <xdr:row>10</xdr:row>
      <xdr:rowOff>26925</xdr:rowOff>
    </xdr:to>
    <xdr:sp macro="" textlink="">
      <xdr:nvSpPr>
        <xdr:cNvPr id="5" name="Rectángulo 4"/>
        <xdr:cNvSpPr/>
      </xdr:nvSpPr>
      <xdr:spPr>
        <a:xfrm>
          <a:off x="1185833" y="554349"/>
          <a:ext cx="268941" cy="209176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</xdr:col>
      <xdr:colOff>126733</xdr:colOff>
      <xdr:row>8</xdr:row>
      <xdr:rowOff>11793</xdr:rowOff>
    </xdr:from>
    <xdr:to>
      <xdr:col>3</xdr:col>
      <xdr:colOff>324115</xdr:colOff>
      <xdr:row>9</xdr:row>
      <xdr:rowOff>11793</xdr:rowOff>
    </xdr:to>
    <xdr:sp macro="" textlink="">
      <xdr:nvSpPr>
        <xdr:cNvPr id="6" name="Elipse 5"/>
        <xdr:cNvSpPr/>
      </xdr:nvSpPr>
      <xdr:spPr>
        <a:xfrm>
          <a:off x="1206233" y="380093"/>
          <a:ext cx="197382" cy="1841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126234</xdr:colOff>
      <xdr:row>9</xdr:row>
      <xdr:rowOff>25457</xdr:rowOff>
    </xdr:from>
    <xdr:to>
      <xdr:col>5</xdr:col>
      <xdr:colOff>323616</xdr:colOff>
      <xdr:row>10</xdr:row>
      <xdr:rowOff>16996</xdr:rowOff>
    </xdr:to>
    <xdr:sp macro="" textlink="">
      <xdr:nvSpPr>
        <xdr:cNvPr id="7" name="Elipse 6"/>
        <xdr:cNvSpPr/>
      </xdr:nvSpPr>
      <xdr:spPr>
        <a:xfrm>
          <a:off x="2031234" y="1739957"/>
          <a:ext cx="197382" cy="182039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105588</xdr:colOff>
      <xdr:row>8</xdr:row>
      <xdr:rowOff>31411</xdr:rowOff>
    </xdr:from>
    <xdr:to>
      <xdr:col>5</xdr:col>
      <xdr:colOff>374529</xdr:colOff>
      <xdr:row>9</xdr:row>
      <xdr:rowOff>29883</xdr:rowOff>
    </xdr:to>
    <xdr:sp macro="" textlink="">
      <xdr:nvSpPr>
        <xdr:cNvPr id="8" name="Rectángulo 7"/>
        <xdr:cNvSpPr/>
      </xdr:nvSpPr>
      <xdr:spPr>
        <a:xfrm>
          <a:off x="2099488" y="399711"/>
          <a:ext cx="268941" cy="182622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8</xdr:col>
      <xdr:colOff>607733</xdr:colOff>
      <xdr:row>0</xdr:row>
      <xdr:rowOff>0</xdr:rowOff>
    </xdr:from>
    <xdr:to>
      <xdr:col>14</xdr:col>
      <xdr:colOff>273828</xdr:colOff>
      <xdr:row>5</xdr:row>
      <xdr:rowOff>94747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4958" y="0"/>
          <a:ext cx="4238095" cy="1047247"/>
        </a:xfrm>
        <a:prstGeom prst="rect">
          <a:avLst/>
        </a:prstGeom>
      </xdr:spPr>
    </xdr:pic>
    <xdr:clientData/>
  </xdr:twoCellAnchor>
  <xdr:twoCellAnchor>
    <xdr:from>
      <xdr:col>3</xdr:col>
      <xdr:colOff>109321</xdr:colOff>
      <xdr:row>9</xdr:row>
      <xdr:rowOff>176710</xdr:rowOff>
    </xdr:from>
    <xdr:to>
      <xdr:col>3</xdr:col>
      <xdr:colOff>378262</xdr:colOff>
      <xdr:row>11</xdr:row>
      <xdr:rowOff>14971</xdr:rowOff>
    </xdr:to>
    <xdr:sp macro="" textlink="">
      <xdr:nvSpPr>
        <xdr:cNvPr id="10" name="Rectángulo 9"/>
        <xdr:cNvSpPr/>
      </xdr:nvSpPr>
      <xdr:spPr>
        <a:xfrm>
          <a:off x="1188821" y="729160"/>
          <a:ext cx="268941" cy="206561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74956</xdr:colOff>
      <xdr:row>8</xdr:row>
      <xdr:rowOff>7875</xdr:rowOff>
    </xdr:from>
    <xdr:to>
      <xdr:col>4</xdr:col>
      <xdr:colOff>343897</xdr:colOff>
      <xdr:row>9</xdr:row>
      <xdr:rowOff>32901</xdr:rowOff>
    </xdr:to>
    <xdr:sp macro="" textlink="">
      <xdr:nvSpPr>
        <xdr:cNvPr id="11" name="Rectángulo 10"/>
        <xdr:cNvSpPr/>
      </xdr:nvSpPr>
      <xdr:spPr>
        <a:xfrm>
          <a:off x="1611656" y="376175"/>
          <a:ext cx="268941" cy="209176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184990</xdr:colOff>
      <xdr:row>9</xdr:row>
      <xdr:rowOff>14942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23890" cy="16722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194235</xdr:colOff>
      <xdr:row>8</xdr:row>
      <xdr:rowOff>107093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31585" cy="1580293"/>
        </a:xfrm>
        <a:prstGeom prst="rect">
          <a:avLst/>
        </a:prstGeom>
      </xdr:spPr>
    </xdr:pic>
    <xdr:clientData/>
  </xdr:twoCellAnchor>
  <xdr:twoCellAnchor>
    <xdr:from>
      <xdr:col>9</xdr:col>
      <xdr:colOff>590550</xdr:colOff>
      <xdr:row>16</xdr:row>
      <xdr:rowOff>19050</xdr:rowOff>
    </xdr:from>
    <xdr:to>
      <xdr:col>13</xdr:col>
      <xdr:colOff>76200</xdr:colOff>
      <xdr:row>23</xdr:row>
      <xdr:rowOff>152400</xdr:rowOff>
    </xdr:to>
    <xdr:sp macro="" textlink="">
      <xdr:nvSpPr>
        <xdr:cNvPr id="3" name="Rectángulo 2"/>
        <xdr:cNvSpPr/>
      </xdr:nvSpPr>
      <xdr:spPr>
        <a:xfrm>
          <a:off x="7019925" y="2800350"/>
          <a:ext cx="2600325" cy="133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104775</xdr:colOff>
      <xdr:row>16</xdr:row>
      <xdr:rowOff>28575</xdr:rowOff>
    </xdr:from>
    <xdr:to>
      <xdr:col>13</xdr:col>
      <xdr:colOff>76200</xdr:colOff>
      <xdr:row>23</xdr:row>
      <xdr:rowOff>161925</xdr:rowOff>
    </xdr:to>
    <xdr:sp macro="" textlink="">
      <xdr:nvSpPr>
        <xdr:cNvPr id="4" name="Rectángulo 3"/>
        <xdr:cNvSpPr/>
      </xdr:nvSpPr>
      <xdr:spPr>
        <a:xfrm>
          <a:off x="8886825" y="2809875"/>
          <a:ext cx="733425" cy="13335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666750</xdr:colOff>
      <xdr:row>19</xdr:row>
      <xdr:rowOff>19050</xdr:rowOff>
    </xdr:from>
    <xdr:to>
      <xdr:col>10</xdr:col>
      <xdr:colOff>276225</xdr:colOff>
      <xdr:row>20</xdr:row>
      <xdr:rowOff>180975</xdr:rowOff>
    </xdr:to>
    <xdr:sp macro="" textlink="">
      <xdr:nvSpPr>
        <xdr:cNvPr id="5" name="Elipse 4"/>
        <xdr:cNvSpPr/>
      </xdr:nvSpPr>
      <xdr:spPr>
        <a:xfrm>
          <a:off x="7096125" y="3238500"/>
          <a:ext cx="304800" cy="352425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352425</xdr:colOff>
      <xdr:row>19</xdr:row>
      <xdr:rowOff>57150</xdr:rowOff>
    </xdr:from>
    <xdr:to>
      <xdr:col>12</xdr:col>
      <xdr:colOff>657225</xdr:colOff>
      <xdr:row>21</xdr:row>
      <xdr:rowOff>28575</xdr:rowOff>
    </xdr:to>
    <xdr:sp macro="" textlink="">
      <xdr:nvSpPr>
        <xdr:cNvPr id="6" name="Elipse 5"/>
        <xdr:cNvSpPr/>
      </xdr:nvSpPr>
      <xdr:spPr>
        <a:xfrm>
          <a:off x="9134475" y="3276600"/>
          <a:ext cx="304800" cy="352425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504825</xdr:colOff>
      <xdr:row>19</xdr:row>
      <xdr:rowOff>38100</xdr:rowOff>
    </xdr:from>
    <xdr:to>
      <xdr:col>12</xdr:col>
      <xdr:colOff>47625</xdr:colOff>
      <xdr:row>21</xdr:row>
      <xdr:rowOff>9525</xdr:rowOff>
    </xdr:to>
    <xdr:sp macro="" textlink="">
      <xdr:nvSpPr>
        <xdr:cNvPr id="7" name="Elipse 6"/>
        <xdr:cNvSpPr/>
      </xdr:nvSpPr>
      <xdr:spPr>
        <a:xfrm>
          <a:off x="8524875" y="3257550"/>
          <a:ext cx="304800" cy="352425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180975</xdr:colOff>
      <xdr:row>19</xdr:row>
      <xdr:rowOff>47625</xdr:rowOff>
    </xdr:from>
    <xdr:to>
      <xdr:col>11</xdr:col>
      <xdr:colOff>485775</xdr:colOff>
      <xdr:row>21</xdr:row>
      <xdr:rowOff>19050</xdr:rowOff>
    </xdr:to>
    <xdr:sp macro="" textlink="">
      <xdr:nvSpPr>
        <xdr:cNvPr id="8" name="Elipse 7"/>
        <xdr:cNvSpPr/>
      </xdr:nvSpPr>
      <xdr:spPr>
        <a:xfrm>
          <a:off x="8201025" y="3267075"/>
          <a:ext cx="304800" cy="352425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10</xdr:col>
      <xdr:colOff>733425</xdr:colOff>
      <xdr:row>19</xdr:row>
      <xdr:rowOff>47625</xdr:rowOff>
    </xdr:from>
    <xdr:to>
      <xdr:col>11</xdr:col>
      <xdr:colOff>142875</xdr:colOff>
      <xdr:row>21</xdr:row>
      <xdr:rowOff>19050</xdr:rowOff>
    </xdr:to>
    <xdr:sp macro="" textlink="">
      <xdr:nvSpPr>
        <xdr:cNvPr id="9" name="Elipse 8"/>
        <xdr:cNvSpPr/>
      </xdr:nvSpPr>
      <xdr:spPr>
        <a:xfrm>
          <a:off x="7858125" y="3267075"/>
          <a:ext cx="304800" cy="352425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10</xdr:col>
      <xdr:colOff>409575</xdr:colOff>
      <xdr:row>19</xdr:row>
      <xdr:rowOff>57150</xdr:rowOff>
    </xdr:from>
    <xdr:to>
      <xdr:col>10</xdr:col>
      <xdr:colOff>714375</xdr:colOff>
      <xdr:row>21</xdr:row>
      <xdr:rowOff>28575</xdr:rowOff>
    </xdr:to>
    <xdr:sp macro="" textlink="">
      <xdr:nvSpPr>
        <xdr:cNvPr id="10" name="Elipse 9"/>
        <xdr:cNvSpPr/>
      </xdr:nvSpPr>
      <xdr:spPr>
        <a:xfrm>
          <a:off x="7534275" y="3276600"/>
          <a:ext cx="304800" cy="352425"/>
        </a:xfrm>
        <a:prstGeom prst="ellipse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260350</xdr:colOff>
      <xdr:row>0</xdr:row>
      <xdr:rowOff>87224</xdr:rowOff>
    </xdr:from>
    <xdr:to>
      <xdr:col>18</xdr:col>
      <xdr:colOff>523727</xdr:colOff>
      <xdr:row>12</xdr:row>
      <xdr:rowOff>111397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9300" y="87224"/>
          <a:ext cx="4835377" cy="22339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687294</xdr:colOff>
      <xdr:row>1</xdr:row>
      <xdr:rowOff>37353</xdr:rowOff>
    </xdr:from>
    <xdr:to>
      <xdr:col>20</xdr:col>
      <xdr:colOff>162627</xdr:colOff>
      <xdr:row>15</xdr:row>
      <xdr:rowOff>79790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0094" y="221503"/>
          <a:ext cx="6333333" cy="2620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mulaci&#243;n/Simul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cazas (4)"/>
      <sheetName val="barcazas (Tarea)"/>
      <sheetName val="Ejercicio (2)"/>
      <sheetName val="LAVADERO"/>
      <sheetName val="barcazas (2)"/>
      <sheetName val="Hoja1 (2)"/>
      <sheetName val="stock (2)"/>
      <sheetName val="Hoja1"/>
      <sheetName val="barcazas"/>
      <sheetName val="Aleatorios"/>
      <sheetName val="stock"/>
      <sheetName val="Repaso1"/>
      <sheetName val="Ejercicio"/>
      <sheetName val="Repaso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Q3">
            <v>1</v>
          </cell>
          <cell r="R3">
            <v>0</v>
          </cell>
        </row>
        <row r="4">
          <cell r="Q4" t="str">
            <v>2</v>
          </cell>
          <cell r="R4">
            <v>0</v>
          </cell>
        </row>
        <row r="5">
          <cell r="Q5" t="str">
            <v>3</v>
          </cell>
          <cell r="R5">
            <v>0</v>
          </cell>
        </row>
        <row r="6">
          <cell r="Q6" t="str">
            <v>4</v>
          </cell>
          <cell r="R6">
            <v>0</v>
          </cell>
        </row>
        <row r="7">
          <cell r="Q7" t="str">
            <v>5</v>
          </cell>
          <cell r="R7">
            <v>0</v>
          </cell>
        </row>
        <row r="8">
          <cell r="Q8" t="str">
            <v>6</v>
          </cell>
          <cell r="R8">
            <v>1</v>
          </cell>
        </row>
        <row r="9">
          <cell r="Q9" t="str">
            <v>7</v>
          </cell>
          <cell r="R9">
            <v>1</v>
          </cell>
        </row>
        <row r="10">
          <cell r="Q10" t="str">
            <v>8</v>
          </cell>
          <cell r="R10">
            <v>1</v>
          </cell>
        </row>
        <row r="11">
          <cell r="Q11" t="str">
            <v>9</v>
          </cell>
          <cell r="R11">
            <v>1</v>
          </cell>
        </row>
        <row r="12">
          <cell r="Q12" t="str">
            <v>10</v>
          </cell>
          <cell r="R12">
            <v>1</v>
          </cell>
        </row>
        <row r="13">
          <cell r="Q13" t="str">
            <v>11</v>
          </cell>
          <cell r="R13">
            <v>1</v>
          </cell>
        </row>
        <row r="14">
          <cell r="Q14" t="str">
            <v>12</v>
          </cell>
          <cell r="R14">
            <v>1</v>
          </cell>
        </row>
        <row r="15">
          <cell r="Q15" t="str">
            <v>13</v>
          </cell>
          <cell r="R15">
            <v>1</v>
          </cell>
        </row>
        <row r="16">
          <cell r="Q16" t="str">
            <v>14</v>
          </cell>
          <cell r="R16">
            <v>1</v>
          </cell>
        </row>
        <row r="17">
          <cell r="Q17" t="str">
            <v>15</v>
          </cell>
          <cell r="R17">
            <v>1</v>
          </cell>
        </row>
        <row r="18">
          <cell r="Q18" t="str">
            <v>16</v>
          </cell>
          <cell r="R18">
            <v>2</v>
          </cell>
        </row>
        <row r="19">
          <cell r="Q19" t="str">
            <v>17</v>
          </cell>
          <cell r="R19">
            <v>2</v>
          </cell>
        </row>
        <row r="20">
          <cell r="Q20" t="str">
            <v>18</v>
          </cell>
          <cell r="R20">
            <v>2</v>
          </cell>
        </row>
        <row r="21">
          <cell r="Q21" t="str">
            <v>19</v>
          </cell>
          <cell r="R21">
            <v>2</v>
          </cell>
        </row>
        <row r="22">
          <cell r="Q22" t="str">
            <v>20</v>
          </cell>
          <cell r="R22">
            <v>2</v>
          </cell>
        </row>
        <row r="23">
          <cell r="Q23" t="str">
            <v>21</v>
          </cell>
          <cell r="R23">
            <v>2</v>
          </cell>
        </row>
        <row r="24">
          <cell r="Q24" t="str">
            <v>22</v>
          </cell>
          <cell r="R24">
            <v>2</v>
          </cell>
        </row>
        <row r="25">
          <cell r="Q25" t="str">
            <v>23</v>
          </cell>
          <cell r="R25">
            <v>2</v>
          </cell>
        </row>
        <row r="26">
          <cell r="Q26" t="str">
            <v>24</v>
          </cell>
          <cell r="R26">
            <v>2</v>
          </cell>
        </row>
        <row r="27">
          <cell r="Q27" t="str">
            <v>25</v>
          </cell>
          <cell r="R27">
            <v>2</v>
          </cell>
        </row>
        <row r="28">
          <cell r="Q28" t="str">
            <v>26</v>
          </cell>
          <cell r="R28">
            <v>2</v>
          </cell>
        </row>
        <row r="29">
          <cell r="Q29" t="str">
            <v>27</v>
          </cell>
          <cell r="R29">
            <v>2</v>
          </cell>
        </row>
        <row r="30">
          <cell r="Q30" t="str">
            <v>28</v>
          </cell>
          <cell r="R30">
            <v>2</v>
          </cell>
        </row>
        <row r="31">
          <cell r="Q31" t="str">
            <v>29</v>
          </cell>
          <cell r="R31">
            <v>2</v>
          </cell>
        </row>
        <row r="32">
          <cell r="Q32" t="str">
            <v>30</v>
          </cell>
          <cell r="R32">
            <v>2</v>
          </cell>
        </row>
        <row r="33">
          <cell r="Q33" t="str">
            <v>31</v>
          </cell>
          <cell r="R33">
            <v>2</v>
          </cell>
        </row>
        <row r="34">
          <cell r="Q34" t="str">
            <v>32</v>
          </cell>
          <cell r="R34">
            <v>2</v>
          </cell>
        </row>
        <row r="35">
          <cell r="Q35" t="str">
            <v>33</v>
          </cell>
          <cell r="R35">
            <v>2</v>
          </cell>
        </row>
        <row r="36">
          <cell r="Q36" t="str">
            <v>34</v>
          </cell>
          <cell r="R36">
            <v>2</v>
          </cell>
        </row>
        <row r="37">
          <cell r="Q37" t="str">
            <v>35</v>
          </cell>
          <cell r="R37">
            <v>2</v>
          </cell>
        </row>
        <row r="38">
          <cell r="Q38" t="str">
            <v>36</v>
          </cell>
          <cell r="R38">
            <v>3</v>
          </cell>
        </row>
        <row r="39">
          <cell r="Q39" t="str">
            <v>37</v>
          </cell>
          <cell r="R39">
            <v>3</v>
          </cell>
        </row>
        <row r="40">
          <cell r="Q40" t="str">
            <v>38</v>
          </cell>
          <cell r="R40">
            <v>3</v>
          </cell>
        </row>
        <row r="41">
          <cell r="Q41" t="str">
            <v>39</v>
          </cell>
          <cell r="R41">
            <v>3</v>
          </cell>
        </row>
        <row r="42">
          <cell r="Q42" t="str">
            <v>40</v>
          </cell>
          <cell r="R42">
            <v>3</v>
          </cell>
        </row>
        <row r="43">
          <cell r="Q43" t="str">
            <v>41</v>
          </cell>
          <cell r="R43">
            <v>3</v>
          </cell>
        </row>
        <row r="44">
          <cell r="Q44" t="str">
            <v>42</v>
          </cell>
          <cell r="R44">
            <v>3</v>
          </cell>
        </row>
        <row r="45">
          <cell r="Q45" t="str">
            <v>43</v>
          </cell>
          <cell r="R45">
            <v>3</v>
          </cell>
        </row>
        <row r="46">
          <cell r="Q46" t="str">
            <v>44</v>
          </cell>
          <cell r="R46">
            <v>3</v>
          </cell>
        </row>
        <row r="47">
          <cell r="Q47" t="str">
            <v>45</v>
          </cell>
          <cell r="R47">
            <v>3</v>
          </cell>
        </row>
        <row r="48">
          <cell r="Q48" t="str">
            <v>46</v>
          </cell>
          <cell r="R48">
            <v>3</v>
          </cell>
        </row>
        <row r="49">
          <cell r="Q49" t="str">
            <v>47</v>
          </cell>
          <cell r="R49">
            <v>3</v>
          </cell>
        </row>
        <row r="50">
          <cell r="Q50" t="str">
            <v>48</v>
          </cell>
          <cell r="R50">
            <v>3</v>
          </cell>
        </row>
        <row r="51">
          <cell r="Q51" t="str">
            <v>49</v>
          </cell>
          <cell r="R51">
            <v>3</v>
          </cell>
        </row>
        <row r="52">
          <cell r="Q52" t="str">
            <v>50</v>
          </cell>
          <cell r="R52">
            <v>3</v>
          </cell>
        </row>
        <row r="53">
          <cell r="Q53" t="str">
            <v>51</v>
          </cell>
          <cell r="R53">
            <v>3</v>
          </cell>
        </row>
        <row r="54">
          <cell r="Q54" t="str">
            <v>52</v>
          </cell>
          <cell r="R54">
            <v>3</v>
          </cell>
        </row>
        <row r="55">
          <cell r="Q55" t="str">
            <v>53</v>
          </cell>
          <cell r="R55">
            <v>3</v>
          </cell>
        </row>
        <row r="56">
          <cell r="Q56" t="str">
            <v>54</v>
          </cell>
          <cell r="R56">
            <v>3</v>
          </cell>
        </row>
        <row r="57">
          <cell r="Q57" t="str">
            <v>55</v>
          </cell>
          <cell r="R57">
            <v>3</v>
          </cell>
        </row>
        <row r="58">
          <cell r="Q58" t="str">
            <v>56</v>
          </cell>
          <cell r="R58">
            <v>3</v>
          </cell>
        </row>
        <row r="59">
          <cell r="Q59" t="str">
            <v>57</v>
          </cell>
          <cell r="R59">
            <v>3</v>
          </cell>
        </row>
        <row r="60">
          <cell r="Q60" t="str">
            <v>58</v>
          </cell>
          <cell r="R60">
            <v>3</v>
          </cell>
        </row>
        <row r="61">
          <cell r="Q61" t="str">
            <v>59</v>
          </cell>
          <cell r="R61">
            <v>3</v>
          </cell>
        </row>
        <row r="62">
          <cell r="Q62" t="str">
            <v>60</v>
          </cell>
          <cell r="R62">
            <v>3</v>
          </cell>
        </row>
        <row r="63">
          <cell r="Q63" t="str">
            <v>61</v>
          </cell>
          <cell r="R63">
            <v>3</v>
          </cell>
        </row>
        <row r="64">
          <cell r="Q64" t="str">
            <v>62</v>
          </cell>
          <cell r="R64">
            <v>3</v>
          </cell>
        </row>
        <row r="65">
          <cell r="Q65" t="str">
            <v>63</v>
          </cell>
          <cell r="R65">
            <v>3</v>
          </cell>
        </row>
        <row r="66">
          <cell r="Q66" t="str">
            <v>64</v>
          </cell>
          <cell r="R66">
            <v>3</v>
          </cell>
        </row>
        <row r="67">
          <cell r="Q67" t="str">
            <v>65</v>
          </cell>
          <cell r="R67">
            <v>3</v>
          </cell>
        </row>
        <row r="68">
          <cell r="Q68" t="str">
            <v>66</v>
          </cell>
          <cell r="R68">
            <v>4</v>
          </cell>
        </row>
        <row r="69">
          <cell r="Q69" t="str">
            <v>67</v>
          </cell>
          <cell r="R69">
            <v>4</v>
          </cell>
        </row>
        <row r="70">
          <cell r="Q70" t="str">
            <v>68</v>
          </cell>
          <cell r="R70">
            <v>4</v>
          </cell>
        </row>
        <row r="71">
          <cell r="Q71" t="str">
            <v>69</v>
          </cell>
          <cell r="R71">
            <v>4</v>
          </cell>
        </row>
        <row r="72">
          <cell r="Q72" t="str">
            <v>70</v>
          </cell>
          <cell r="R72">
            <v>4</v>
          </cell>
        </row>
        <row r="73">
          <cell r="Q73" t="str">
            <v>71</v>
          </cell>
          <cell r="R73">
            <v>4</v>
          </cell>
        </row>
        <row r="74">
          <cell r="Q74" t="str">
            <v>72</v>
          </cell>
          <cell r="R74">
            <v>4</v>
          </cell>
        </row>
        <row r="75">
          <cell r="Q75" t="str">
            <v>73</v>
          </cell>
          <cell r="R75">
            <v>4</v>
          </cell>
        </row>
        <row r="76">
          <cell r="Q76" t="str">
            <v>74</v>
          </cell>
          <cell r="R76">
            <v>4</v>
          </cell>
        </row>
        <row r="77">
          <cell r="Q77" t="str">
            <v>75</v>
          </cell>
          <cell r="R77">
            <v>4</v>
          </cell>
        </row>
        <row r="78">
          <cell r="Q78" t="str">
            <v>76</v>
          </cell>
          <cell r="R78">
            <v>4</v>
          </cell>
        </row>
        <row r="79">
          <cell r="Q79" t="str">
            <v>77</v>
          </cell>
          <cell r="R79">
            <v>4</v>
          </cell>
        </row>
        <row r="80">
          <cell r="Q80" t="str">
            <v>78</v>
          </cell>
          <cell r="R80">
            <v>4</v>
          </cell>
        </row>
        <row r="81">
          <cell r="Q81" t="str">
            <v>79</v>
          </cell>
          <cell r="R81">
            <v>4</v>
          </cell>
        </row>
        <row r="82">
          <cell r="Q82" t="str">
            <v>80</v>
          </cell>
          <cell r="R82">
            <v>4</v>
          </cell>
        </row>
        <row r="83">
          <cell r="Q83" t="str">
            <v>81</v>
          </cell>
          <cell r="R83">
            <v>4</v>
          </cell>
        </row>
        <row r="84">
          <cell r="Q84" t="str">
            <v>82</v>
          </cell>
          <cell r="R84">
            <v>4</v>
          </cell>
        </row>
        <row r="85">
          <cell r="Q85" t="str">
            <v>83</v>
          </cell>
          <cell r="R85">
            <v>4</v>
          </cell>
        </row>
        <row r="86">
          <cell r="Q86" t="str">
            <v>84</v>
          </cell>
          <cell r="R86">
            <v>4</v>
          </cell>
        </row>
        <row r="87">
          <cell r="Q87" t="str">
            <v>85</v>
          </cell>
          <cell r="R87">
            <v>4</v>
          </cell>
        </row>
        <row r="88">
          <cell r="Q88" t="str">
            <v>86</v>
          </cell>
          <cell r="R88">
            <v>5</v>
          </cell>
        </row>
        <row r="89">
          <cell r="Q89" t="str">
            <v>87</v>
          </cell>
          <cell r="R89">
            <v>5</v>
          </cell>
        </row>
        <row r="90">
          <cell r="Q90" t="str">
            <v>88</v>
          </cell>
          <cell r="R90">
            <v>5</v>
          </cell>
        </row>
        <row r="91">
          <cell r="Q91" t="str">
            <v>89</v>
          </cell>
          <cell r="R91">
            <v>5</v>
          </cell>
        </row>
        <row r="92">
          <cell r="Q92" t="str">
            <v>90</v>
          </cell>
          <cell r="R92">
            <v>5</v>
          </cell>
        </row>
        <row r="93">
          <cell r="Q93" t="str">
            <v>91</v>
          </cell>
          <cell r="R93">
            <v>5</v>
          </cell>
        </row>
        <row r="94">
          <cell r="Q94" t="str">
            <v>92</v>
          </cell>
          <cell r="R94">
            <v>5</v>
          </cell>
        </row>
        <row r="95">
          <cell r="Q95" t="str">
            <v>93</v>
          </cell>
          <cell r="R95">
            <v>5</v>
          </cell>
        </row>
        <row r="96">
          <cell r="Q96" t="str">
            <v>94</v>
          </cell>
          <cell r="R96">
            <v>5</v>
          </cell>
        </row>
        <row r="97">
          <cell r="Q97" t="str">
            <v>95</v>
          </cell>
          <cell r="R97">
            <v>5</v>
          </cell>
        </row>
        <row r="98">
          <cell r="Q98" t="str">
            <v>96</v>
          </cell>
          <cell r="R98">
            <v>5</v>
          </cell>
        </row>
        <row r="99">
          <cell r="Q99" t="str">
            <v>97</v>
          </cell>
          <cell r="R99">
            <v>5</v>
          </cell>
        </row>
        <row r="100">
          <cell r="Q100" t="str">
            <v>98</v>
          </cell>
          <cell r="R100">
            <v>5</v>
          </cell>
        </row>
        <row r="101">
          <cell r="Q101" t="str">
            <v>99</v>
          </cell>
          <cell r="R101">
            <v>5</v>
          </cell>
        </row>
        <row r="102">
          <cell r="Q102" t="str">
            <v>100</v>
          </cell>
          <cell r="R102">
            <v>5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opLeftCell="A10" workbookViewId="0">
      <selection activeCell="G12" sqref="G12:L24"/>
    </sheetView>
  </sheetViews>
  <sheetFormatPr baseColWidth="10" defaultRowHeight="15"/>
  <cols>
    <col min="1" max="1" width="3.28515625" customWidth="1"/>
    <col min="2" max="2" width="11.42578125" bestFit="1" customWidth="1"/>
    <col min="3" max="3" width="8.140625" bestFit="1" customWidth="1"/>
    <col min="4" max="4" width="8.42578125" bestFit="1" customWidth="1"/>
    <col min="5" max="5" width="4" customWidth="1"/>
    <col min="6" max="6" width="3.140625" customWidth="1"/>
    <col min="7" max="7" width="16.5703125" customWidth="1"/>
    <col min="8" max="8" width="9.42578125" customWidth="1"/>
    <col min="9" max="9" width="4.28515625" bestFit="1" customWidth="1"/>
    <col min="10" max="11" width="11.140625" bestFit="1" customWidth="1"/>
  </cols>
  <sheetData>
    <row r="1" spans="1:21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12" spans="1:21">
      <c r="B12" t="s">
        <v>1</v>
      </c>
      <c r="C12" s="2">
        <v>1000</v>
      </c>
      <c r="D12" t="s">
        <v>2</v>
      </c>
      <c r="F12" t="s">
        <v>3</v>
      </c>
      <c r="G12" t="s">
        <v>4</v>
      </c>
      <c r="H12" s="3" t="s">
        <v>5</v>
      </c>
      <c r="I12" s="4" t="s">
        <v>6</v>
      </c>
      <c r="J12" s="5">
        <f ca="1">+SQRT(2*C19*C13/C18)</f>
        <v>1095.4451150103323</v>
      </c>
      <c r="K12" s="6" t="s">
        <v>7</v>
      </c>
    </row>
    <row r="13" spans="1:21">
      <c r="B13" t="s">
        <v>8</v>
      </c>
      <c r="C13">
        <v>25</v>
      </c>
      <c r="D13" t="s">
        <v>9</v>
      </c>
      <c r="H13" s="7" t="s">
        <v>10</v>
      </c>
    </row>
    <row r="14" spans="1:21">
      <c r="B14" t="s">
        <v>11</v>
      </c>
      <c r="C14">
        <v>2.5</v>
      </c>
      <c r="D14" t="s">
        <v>12</v>
      </c>
    </row>
    <row r="15" spans="1:21">
      <c r="B15" t="s">
        <v>13</v>
      </c>
      <c r="C15">
        <v>0.2</v>
      </c>
      <c r="D15" t="s">
        <v>14</v>
      </c>
      <c r="F15" t="s">
        <v>15</v>
      </c>
      <c r="G15" t="s">
        <v>16</v>
      </c>
      <c r="H15" s="8" t="s">
        <v>17</v>
      </c>
      <c r="I15" s="4" t="s">
        <v>6</v>
      </c>
      <c r="J15" s="9">
        <f ca="1">+C19/J12</f>
        <v>10.954451150103322</v>
      </c>
      <c r="K15" t="s">
        <v>18</v>
      </c>
    </row>
    <row r="16" spans="1:21">
      <c r="B16" s="118" t="s">
        <v>19</v>
      </c>
      <c r="C16" s="118">
        <v>5</v>
      </c>
      <c r="D16" s="118" t="s">
        <v>20</v>
      </c>
      <c r="H16" s="4" t="s">
        <v>21</v>
      </c>
    </row>
    <row r="17" spans="2:12">
      <c r="B17" t="s">
        <v>22</v>
      </c>
      <c r="C17">
        <v>250</v>
      </c>
      <c r="D17" t="s">
        <v>20</v>
      </c>
    </row>
    <row r="18" spans="2:12">
      <c r="B18" t="s">
        <v>10</v>
      </c>
      <c r="C18">
        <f ca="1">+C15*C14</f>
        <v>0.5</v>
      </c>
      <c r="D18" t="s">
        <v>23</v>
      </c>
      <c r="G18" s="5" t="s">
        <v>24</v>
      </c>
      <c r="H18" s="10">
        <f ca="1">+(C16)*J12/H20</f>
        <v>240</v>
      </c>
      <c r="I18" s="6" t="s">
        <v>25</v>
      </c>
      <c r="J18" s="11">
        <f ca="1">+H18/(C12/30)</f>
        <v>7.1999999999999993</v>
      </c>
      <c r="L18">
        <f ca="1">+C19/C17</f>
        <v>48</v>
      </c>
    </row>
    <row r="19" spans="2:12">
      <c r="B19" t="s">
        <v>26</v>
      </c>
      <c r="C19" s="2">
        <f ca="1">12*C12</f>
        <v>12000</v>
      </c>
      <c r="D19" t="s">
        <v>27</v>
      </c>
      <c r="L19">
        <f ca="1">+J12/L18</f>
        <v>22.821773229381922</v>
      </c>
    </row>
    <row r="20" spans="2:12">
      <c r="F20" t="s">
        <v>28</v>
      </c>
      <c r="G20" s="5" t="s">
        <v>29</v>
      </c>
      <c r="H20" s="10">
        <f ca="1">+C17/J15</f>
        <v>22.821773229381922</v>
      </c>
      <c r="I20" s="6" t="s">
        <v>20</v>
      </c>
    </row>
    <row r="22" spans="2:12">
      <c r="F22" t="s">
        <v>30</v>
      </c>
      <c r="G22" t="s">
        <v>31</v>
      </c>
      <c r="I22" s="4"/>
      <c r="J22" s="12">
        <f ca="1">+C19*C14+C19/J12*C13+J12/2*C18</f>
        <v>30547.722557505163</v>
      </c>
      <c r="K22" s="6" t="s">
        <v>32</v>
      </c>
    </row>
    <row r="23" spans="2:12">
      <c r="J23" s="13">
        <f ca="1">+C19*C14</f>
        <v>30000</v>
      </c>
      <c r="K23" s="14" t="s">
        <v>33</v>
      </c>
    </row>
    <row r="24" spans="2:12">
      <c r="J24" s="13">
        <f ca="1">C19/J12*C13</f>
        <v>273.86127875258308</v>
      </c>
      <c r="K24" s="14" t="s">
        <v>34</v>
      </c>
    </row>
    <row r="25" spans="2:12">
      <c r="J25" s="13">
        <f ca="1">+J12/2*C18</f>
        <v>273.86127875258308</v>
      </c>
      <c r="K25" s="14" t="s">
        <v>35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T25"/>
  <sheetViews>
    <sheetView zoomScale="85" zoomScaleNormal="85" workbookViewId="0">
      <selection activeCell="R13" sqref="R13"/>
    </sheetView>
  </sheetViews>
  <sheetFormatPr baseColWidth="10" defaultRowHeight="15"/>
  <cols>
    <col min="2" max="4" width="6.5703125" customWidth="1"/>
    <col min="6" max="6" width="8.140625" customWidth="1"/>
    <col min="7" max="7" width="3.140625" customWidth="1"/>
    <col min="8" max="8" width="9.5703125" customWidth="1"/>
    <col min="9" max="9" width="3.140625" customWidth="1"/>
    <col min="10" max="10" width="9.42578125" customWidth="1"/>
    <col min="11" max="11" width="3.140625" customWidth="1"/>
    <col min="12" max="12" width="9.5703125" customWidth="1"/>
    <col min="13" max="13" width="3.140625" customWidth="1"/>
    <col min="14" max="14" width="9.42578125" customWidth="1"/>
    <col min="15" max="15" width="3.140625" customWidth="1"/>
    <col min="16" max="16" width="9.5703125" customWidth="1"/>
    <col min="17" max="17" width="3.140625" customWidth="1"/>
    <col min="18" max="18" width="9.42578125" customWidth="1"/>
    <col min="19" max="19" width="3.140625" customWidth="1"/>
    <col min="20" max="20" width="9.5703125" customWidth="1"/>
  </cols>
  <sheetData>
    <row r="5" spans="2:20" ht="15.75" thickBot="1"/>
    <row r="6" spans="2:20" ht="15.75" thickBot="1">
      <c r="N6" s="108" t="s">
        <v>302</v>
      </c>
      <c r="O6" s="109"/>
      <c r="P6" s="109"/>
      <c r="Q6" s="101">
        <f ca="1">+F14+J14+N14+R14</f>
        <v>23</v>
      </c>
    </row>
    <row r="12" spans="2:20">
      <c r="E12" t="s">
        <v>295</v>
      </c>
      <c r="F12" s="4">
        <v>1</v>
      </c>
      <c r="J12" s="4">
        <v>2</v>
      </c>
      <c r="N12" s="4">
        <v>3</v>
      </c>
      <c r="R12" s="4">
        <v>4</v>
      </c>
    </row>
    <row r="13" spans="2:20" ht="30">
      <c r="E13" t="s">
        <v>208</v>
      </c>
      <c r="F13" s="100" t="s">
        <v>297</v>
      </c>
      <c r="H13" s="107" t="s">
        <v>298</v>
      </c>
      <c r="J13" s="100" t="s">
        <v>299</v>
      </c>
      <c r="L13" s="107" t="s">
        <v>298</v>
      </c>
      <c r="N13" s="100" t="s">
        <v>300</v>
      </c>
      <c r="P13" s="107" t="s">
        <v>298</v>
      </c>
      <c r="R13" s="100" t="s">
        <v>301</v>
      </c>
      <c r="T13" s="107" t="s">
        <v>298</v>
      </c>
    </row>
    <row r="14" spans="2:20">
      <c r="E14" t="s">
        <v>296</v>
      </c>
      <c r="F14" s="4">
        <v>12</v>
      </c>
      <c r="H14" s="107"/>
      <c r="J14" s="4">
        <v>4</v>
      </c>
      <c r="L14" s="107"/>
      <c r="N14" s="4">
        <v>3</v>
      </c>
      <c r="P14" s="107"/>
      <c r="R14" s="4">
        <v>4</v>
      </c>
      <c r="T14" s="107"/>
    </row>
    <row r="15" spans="2:20">
      <c r="B15" s="4" t="s">
        <v>287</v>
      </c>
      <c r="C15" s="4" t="s">
        <v>205</v>
      </c>
      <c r="D15" s="4" t="s">
        <v>288</v>
      </c>
      <c r="F15" s="4"/>
    </row>
    <row r="16" spans="2:20">
      <c r="B16" s="4" t="s">
        <v>289</v>
      </c>
      <c r="C16" s="4" t="s">
        <v>290</v>
      </c>
      <c r="D16" s="4">
        <v>16</v>
      </c>
      <c r="F16" s="4">
        <f ca="1">-F$14</f>
        <v>-12</v>
      </c>
      <c r="H16" s="4">
        <f ca="1">+F16+D16</f>
        <v>4</v>
      </c>
      <c r="J16" s="4">
        <f ca="1">-J$14</f>
        <v>-4</v>
      </c>
      <c r="L16" s="99">
        <f ca="1">+J16+H16</f>
        <v>0</v>
      </c>
      <c r="N16" s="4"/>
      <c r="P16" s="99">
        <f ca="1">+N16+L16</f>
        <v>0</v>
      </c>
      <c r="R16" s="4"/>
      <c r="T16" s="99">
        <f ca="1">+R16+P16</f>
        <v>0</v>
      </c>
    </row>
    <row r="17" spans="2:20">
      <c r="B17" s="4" t="s">
        <v>289</v>
      </c>
      <c r="C17" s="4" t="s">
        <v>291</v>
      </c>
      <c r="D17" s="4">
        <v>13</v>
      </c>
      <c r="F17" s="4"/>
      <c r="H17" s="4">
        <f t="shared" ref="H17:H25" ca="1" si="0">+F17+D17</f>
        <v>13</v>
      </c>
      <c r="L17" s="4">
        <f t="shared" ref="L17:L25" ca="1" si="1">+J17+H17</f>
        <v>13</v>
      </c>
      <c r="N17" s="4">
        <f ca="1">-N$14</f>
        <v>-3</v>
      </c>
      <c r="P17" s="4">
        <f t="shared" ref="P17:P25" ca="1" si="2">+N17+L17</f>
        <v>10</v>
      </c>
      <c r="R17" s="4">
        <f ca="1">-R$14</f>
        <v>-4</v>
      </c>
      <c r="T17" s="4">
        <f t="shared" ref="T17:T25" ca="1" si="3">+R17+P17</f>
        <v>6</v>
      </c>
    </row>
    <row r="18" spans="2:20">
      <c r="B18" s="4" t="s">
        <v>290</v>
      </c>
      <c r="C18" s="4" t="s">
        <v>291</v>
      </c>
      <c r="D18" s="4">
        <v>10</v>
      </c>
      <c r="F18" s="4"/>
      <c r="H18" s="4">
        <f t="shared" ca="1" si="0"/>
        <v>10</v>
      </c>
      <c r="J18" s="4">
        <f ca="1">-J$14</f>
        <v>-4</v>
      </c>
      <c r="L18" s="4">
        <f t="shared" ca="1" si="1"/>
        <v>6</v>
      </c>
      <c r="N18" s="4"/>
      <c r="P18" s="4">
        <f t="shared" ca="1" si="2"/>
        <v>6</v>
      </c>
      <c r="R18" s="4"/>
      <c r="T18" s="4">
        <f t="shared" ca="1" si="3"/>
        <v>6</v>
      </c>
    </row>
    <row r="19" spans="2:20">
      <c r="B19" s="4" t="s">
        <v>290</v>
      </c>
      <c r="C19" s="4" t="s">
        <v>292</v>
      </c>
      <c r="D19" s="4">
        <v>12</v>
      </c>
      <c r="F19" s="4">
        <f ca="1">-F$14</f>
        <v>-12</v>
      </c>
      <c r="H19" s="99">
        <f t="shared" ca="1" si="0"/>
        <v>0</v>
      </c>
      <c r="L19" s="99">
        <f t="shared" ca="1" si="1"/>
        <v>0</v>
      </c>
      <c r="P19" s="99">
        <f t="shared" ca="1" si="2"/>
        <v>0</v>
      </c>
      <c r="T19" s="99">
        <f t="shared" ca="1" si="3"/>
        <v>0</v>
      </c>
    </row>
    <row r="20" spans="2:20">
      <c r="B20" s="4" t="s">
        <v>291</v>
      </c>
      <c r="C20" s="4" t="s">
        <v>290</v>
      </c>
      <c r="D20" s="4">
        <v>4</v>
      </c>
      <c r="F20" s="4"/>
      <c r="H20" s="4">
        <f t="shared" ca="1" si="0"/>
        <v>4</v>
      </c>
      <c r="L20" s="4">
        <f t="shared" ca="1" si="1"/>
        <v>4</v>
      </c>
      <c r="P20" s="4">
        <f t="shared" ca="1" si="2"/>
        <v>4</v>
      </c>
      <c r="T20" s="4">
        <f t="shared" ca="1" si="3"/>
        <v>4</v>
      </c>
    </row>
    <row r="21" spans="2:20">
      <c r="B21" s="4" t="s">
        <v>291</v>
      </c>
      <c r="C21" s="4" t="s">
        <v>293</v>
      </c>
      <c r="D21" s="4">
        <v>14</v>
      </c>
      <c r="F21" s="4"/>
      <c r="H21" s="4">
        <f t="shared" ca="1" si="0"/>
        <v>14</v>
      </c>
      <c r="J21" s="4">
        <f ca="1">-J$14</f>
        <v>-4</v>
      </c>
      <c r="L21" s="4">
        <f t="shared" ca="1" si="1"/>
        <v>10</v>
      </c>
      <c r="N21" s="4">
        <f ca="1">-N$14</f>
        <v>-3</v>
      </c>
      <c r="P21" s="4">
        <f t="shared" ca="1" si="2"/>
        <v>7</v>
      </c>
      <c r="R21" s="4">
        <f ca="1">-R$14</f>
        <v>-4</v>
      </c>
      <c r="T21" s="4">
        <f t="shared" ca="1" si="3"/>
        <v>3</v>
      </c>
    </row>
    <row r="22" spans="2:20">
      <c r="B22" s="4" t="s">
        <v>292</v>
      </c>
      <c r="C22" s="4" t="s">
        <v>291</v>
      </c>
      <c r="D22" s="4">
        <v>9</v>
      </c>
      <c r="F22" s="4"/>
      <c r="H22" s="4">
        <f t="shared" ca="1" si="0"/>
        <v>9</v>
      </c>
      <c r="L22" s="4">
        <f t="shared" ca="1" si="1"/>
        <v>9</v>
      </c>
      <c r="P22" s="4">
        <f t="shared" ca="1" si="2"/>
        <v>9</v>
      </c>
      <c r="T22" s="4">
        <f t="shared" ca="1" si="3"/>
        <v>9</v>
      </c>
    </row>
    <row r="23" spans="2:20">
      <c r="B23" s="4" t="s">
        <v>292</v>
      </c>
      <c r="C23" s="4" t="s">
        <v>294</v>
      </c>
      <c r="D23" s="4">
        <v>20</v>
      </c>
      <c r="F23" s="4">
        <f ca="1">-F$14</f>
        <v>-12</v>
      </c>
      <c r="H23" s="4">
        <f t="shared" ca="1" si="0"/>
        <v>8</v>
      </c>
      <c r="J23" s="4">
        <f ca="1">-J$14</f>
        <v>-4</v>
      </c>
      <c r="L23" s="4">
        <f t="shared" ca="1" si="1"/>
        <v>4</v>
      </c>
      <c r="N23" s="4">
        <f ca="1">-N$14</f>
        <v>-3</v>
      </c>
      <c r="P23" s="4">
        <f t="shared" ca="1" si="2"/>
        <v>1</v>
      </c>
      <c r="R23" s="4"/>
      <c r="T23" s="4">
        <f t="shared" ca="1" si="3"/>
        <v>1</v>
      </c>
    </row>
    <row r="24" spans="2:20">
      <c r="B24" s="4" t="s">
        <v>293</v>
      </c>
      <c r="C24" s="4" t="s">
        <v>292</v>
      </c>
      <c r="D24" s="4">
        <v>7</v>
      </c>
      <c r="F24" s="4"/>
      <c r="H24" s="4">
        <f t="shared" ca="1" si="0"/>
        <v>7</v>
      </c>
      <c r="J24" s="4">
        <f ca="1">-J$14</f>
        <v>-4</v>
      </c>
      <c r="L24" s="4">
        <f t="shared" ca="1" si="1"/>
        <v>3</v>
      </c>
      <c r="N24" s="4">
        <f ca="1">-N$14</f>
        <v>-3</v>
      </c>
      <c r="P24" s="99">
        <f t="shared" ca="1" si="2"/>
        <v>0</v>
      </c>
      <c r="R24" s="4"/>
      <c r="T24" s="99">
        <f t="shared" ca="1" si="3"/>
        <v>0</v>
      </c>
    </row>
    <row r="25" spans="2:20">
      <c r="B25" s="4" t="s">
        <v>293</v>
      </c>
      <c r="C25" s="4" t="s">
        <v>294</v>
      </c>
      <c r="D25" s="4">
        <v>4</v>
      </c>
      <c r="F25" s="4"/>
      <c r="H25" s="4">
        <f t="shared" ca="1" si="0"/>
        <v>4</v>
      </c>
      <c r="L25" s="4">
        <f t="shared" ca="1" si="1"/>
        <v>4</v>
      </c>
      <c r="P25" s="4">
        <f t="shared" ca="1" si="2"/>
        <v>4</v>
      </c>
      <c r="R25" s="4">
        <f ca="1">-R$14</f>
        <v>-4</v>
      </c>
      <c r="T25" s="99">
        <f t="shared" ca="1" si="3"/>
        <v>0</v>
      </c>
    </row>
  </sheetData>
  <mergeCells count="5">
    <mergeCell ref="H13:H14"/>
    <mergeCell ref="L13:L14"/>
    <mergeCell ref="P13:P14"/>
    <mergeCell ref="T13:T14"/>
    <mergeCell ref="N6:P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0"/>
  <sheetViews>
    <sheetView tabSelected="1" workbookViewId="0">
      <selection activeCell="M17" sqref="M17"/>
    </sheetView>
  </sheetViews>
  <sheetFormatPr baseColWidth="10" defaultColWidth="14.42578125" defaultRowHeight="15" customHeight="1"/>
  <cols>
    <col min="1" max="13" width="10.7109375" style="102" customWidth="1"/>
    <col min="14" max="16384" width="14.42578125" style="102"/>
  </cols>
  <sheetData>
    <row r="1" spans="2:13" ht="14.25" customHeight="1">
      <c r="G1" s="110" t="s">
        <v>303</v>
      </c>
      <c r="H1" s="111"/>
      <c r="I1" s="111"/>
      <c r="J1" s="111"/>
      <c r="K1" s="112" t="s">
        <v>304</v>
      </c>
      <c r="L1" s="111"/>
      <c r="M1" s="111"/>
    </row>
    <row r="2" spans="2:13" ht="60">
      <c r="B2" s="102" t="s">
        <v>305</v>
      </c>
      <c r="G2" s="126" t="s">
        <v>306</v>
      </c>
      <c r="H2" s="126" t="s">
        <v>307</v>
      </c>
      <c r="I2" s="127" t="s">
        <v>308</v>
      </c>
      <c r="J2" s="126" t="s">
        <v>309</v>
      </c>
      <c r="K2" s="126" t="s">
        <v>310</v>
      </c>
      <c r="L2" s="127" t="s">
        <v>311</v>
      </c>
      <c r="M2" s="126" t="s">
        <v>312</v>
      </c>
    </row>
    <row r="3" spans="2:13" ht="14.25" customHeight="1">
      <c r="B3" s="102" t="s">
        <v>313</v>
      </c>
      <c r="C3" s="102" t="s">
        <v>314</v>
      </c>
      <c r="D3" s="102" t="s">
        <v>315</v>
      </c>
      <c r="E3" s="113" t="s">
        <v>316</v>
      </c>
      <c r="G3" s="102">
        <v>1</v>
      </c>
      <c r="H3" s="102">
        <v>0</v>
      </c>
      <c r="I3" s="103">
        <v>52</v>
      </c>
      <c r="J3" s="102">
        <v>3</v>
      </c>
      <c r="K3" s="102">
        <v>3</v>
      </c>
      <c r="L3" s="103">
        <v>37</v>
      </c>
      <c r="M3" s="102">
        <v>3</v>
      </c>
    </row>
    <row r="4" spans="2:13" ht="14.25" customHeight="1">
      <c r="B4" s="102">
        <v>0</v>
      </c>
      <c r="C4" s="102">
        <v>0.13</v>
      </c>
      <c r="D4" s="102" t="str">
        <f ca="1">+C4</f>
        <v>0.13</v>
      </c>
      <c r="E4" s="113" t="s">
        <v>317</v>
      </c>
      <c r="G4" s="102" t="str">
        <f t="shared" ref="G4:G17" ca="1" si="0">+G3+1</f>
        <v>2</v>
      </c>
      <c r="H4" s="102">
        <v>0</v>
      </c>
      <c r="I4" s="103">
        <v>6</v>
      </c>
      <c r="J4" s="102">
        <v>0</v>
      </c>
      <c r="K4" s="102">
        <v>0</v>
      </c>
      <c r="L4" s="128">
        <v>63</v>
      </c>
      <c r="M4" s="104">
        <v>0</v>
      </c>
    </row>
    <row r="5" spans="2:13" ht="14.25" customHeight="1">
      <c r="B5" s="102">
        <v>1</v>
      </c>
      <c r="C5" s="102">
        <v>0.17</v>
      </c>
      <c r="D5" s="102" t="str">
        <f t="shared" ref="D5:D9" ca="1" si="1">+C5+D4</f>
        <v>0.3</v>
      </c>
      <c r="E5" s="113" t="s">
        <v>318</v>
      </c>
      <c r="G5" s="102" t="str">
        <f t="shared" ca="1" si="0"/>
        <v>3</v>
      </c>
      <c r="H5" s="102">
        <v>0</v>
      </c>
      <c r="I5" s="103">
        <v>50</v>
      </c>
      <c r="J5" s="102">
        <v>3</v>
      </c>
      <c r="K5" s="102">
        <v>3</v>
      </c>
      <c r="L5" s="103">
        <v>28</v>
      </c>
      <c r="M5" s="102">
        <v>3</v>
      </c>
    </row>
    <row r="6" spans="2:13" ht="14.25" customHeight="1">
      <c r="B6" s="102">
        <v>2</v>
      </c>
      <c r="C6" s="102">
        <v>0.15</v>
      </c>
      <c r="D6" s="102" t="str">
        <f t="shared" ca="1" si="1"/>
        <v>0.45</v>
      </c>
      <c r="E6" s="113" t="s">
        <v>319</v>
      </c>
      <c r="G6" s="102" t="str">
        <f t="shared" ca="1" si="0"/>
        <v>4</v>
      </c>
      <c r="H6" s="102">
        <v>0</v>
      </c>
      <c r="I6" s="103">
        <v>88</v>
      </c>
      <c r="J6" s="102">
        <v>4</v>
      </c>
      <c r="K6" s="102">
        <v>4</v>
      </c>
      <c r="L6" s="103">
        <v>2</v>
      </c>
      <c r="M6" s="102">
        <v>1</v>
      </c>
    </row>
    <row r="7" spans="2:13" ht="14.25" customHeight="1">
      <c r="B7" s="102">
        <v>3</v>
      </c>
      <c r="C7" s="102">
        <v>0.25</v>
      </c>
      <c r="D7" s="102" t="str">
        <f t="shared" ca="1" si="1"/>
        <v>0.7</v>
      </c>
      <c r="E7" s="113" t="s">
        <v>320</v>
      </c>
      <c r="G7" s="102" t="str">
        <f t="shared" ca="1" si="0"/>
        <v>5</v>
      </c>
      <c r="H7" s="102">
        <v>3</v>
      </c>
      <c r="I7" s="103">
        <v>53</v>
      </c>
      <c r="J7" s="102">
        <v>3</v>
      </c>
      <c r="K7" s="102">
        <v>6</v>
      </c>
      <c r="L7" s="103">
        <v>74</v>
      </c>
      <c r="M7" s="102">
        <v>4</v>
      </c>
    </row>
    <row r="8" spans="2:13" ht="14.25" customHeight="1">
      <c r="B8" s="102">
        <v>4</v>
      </c>
      <c r="C8" s="102">
        <v>0.2</v>
      </c>
      <c r="D8" s="102" t="str">
        <f t="shared" ca="1" si="1"/>
        <v>0.9</v>
      </c>
      <c r="E8" s="113" t="s">
        <v>321</v>
      </c>
      <c r="G8" s="102" t="str">
        <f t="shared" ca="1" si="0"/>
        <v>6</v>
      </c>
      <c r="H8" s="102">
        <v>2</v>
      </c>
      <c r="I8" s="103">
        <v>30</v>
      </c>
      <c r="J8" s="102">
        <v>1</v>
      </c>
      <c r="K8" s="102">
        <v>3</v>
      </c>
      <c r="L8" s="103">
        <v>35</v>
      </c>
      <c r="M8" s="102">
        <v>3</v>
      </c>
    </row>
    <row r="9" spans="2:13" ht="14.25" customHeight="1">
      <c r="B9" s="102">
        <v>5</v>
      </c>
      <c r="C9" s="102">
        <v>0.1</v>
      </c>
      <c r="D9" s="102" t="str">
        <f t="shared" ca="1" si="1"/>
        <v>1</v>
      </c>
      <c r="E9" s="113" t="s">
        <v>322</v>
      </c>
      <c r="G9" s="102" t="str">
        <f t="shared" ca="1" si="0"/>
        <v>7</v>
      </c>
      <c r="H9" s="102">
        <v>0</v>
      </c>
      <c r="I9" s="103">
        <v>10</v>
      </c>
      <c r="J9" s="102">
        <v>0</v>
      </c>
      <c r="K9" s="102">
        <v>0</v>
      </c>
      <c r="L9" s="103">
        <v>24</v>
      </c>
      <c r="M9" s="104">
        <v>0</v>
      </c>
    </row>
    <row r="10" spans="2:13" ht="14.25" customHeight="1">
      <c r="E10" s="114"/>
      <c r="G10" s="102" t="str">
        <f t="shared" ca="1" si="0"/>
        <v>8</v>
      </c>
      <c r="H10" s="102">
        <v>0</v>
      </c>
      <c r="I10" s="103">
        <v>47</v>
      </c>
      <c r="J10" s="102">
        <v>3</v>
      </c>
      <c r="K10" s="102">
        <v>3</v>
      </c>
      <c r="L10" s="103">
        <v>3</v>
      </c>
      <c r="M10" s="102">
        <v>1</v>
      </c>
    </row>
    <row r="11" spans="2:13" ht="14.25" customHeight="1">
      <c r="B11" s="102" t="s">
        <v>323</v>
      </c>
      <c r="E11" s="114"/>
      <c r="G11" s="102" t="str">
        <f t="shared" ca="1" si="0"/>
        <v>9</v>
      </c>
      <c r="H11" s="102">
        <v>2</v>
      </c>
      <c r="I11" s="103">
        <v>99</v>
      </c>
      <c r="J11" s="102">
        <v>5</v>
      </c>
      <c r="K11" s="102">
        <v>7</v>
      </c>
      <c r="L11" s="103">
        <v>29</v>
      </c>
      <c r="M11" s="102">
        <v>3</v>
      </c>
    </row>
    <row r="12" spans="2:13" ht="14.25" customHeight="1">
      <c r="B12" s="102" t="s">
        <v>313</v>
      </c>
      <c r="C12" s="102" t="s">
        <v>314</v>
      </c>
      <c r="D12" s="102" t="s">
        <v>315</v>
      </c>
      <c r="E12" s="114" t="s">
        <v>316</v>
      </c>
      <c r="G12" s="102" t="str">
        <f t="shared" ca="1" si="0"/>
        <v>10</v>
      </c>
      <c r="H12" s="102">
        <v>4</v>
      </c>
      <c r="I12" s="103">
        <v>37</v>
      </c>
      <c r="J12" s="102">
        <v>2</v>
      </c>
      <c r="K12" s="102">
        <v>6</v>
      </c>
      <c r="L12" s="103">
        <v>60</v>
      </c>
      <c r="M12" s="102">
        <v>3</v>
      </c>
    </row>
    <row r="13" spans="2:13" ht="14.25" customHeight="1">
      <c r="E13" s="114"/>
      <c r="G13" s="102" t="str">
        <f t="shared" ca="1" si="0"/>
        <v>11</v>
      </c>
      <c r="H13" s="102">
        <v>3</v>
      </c>
      <c r="I13" s="103">
        <v>66</v>
      </c>
      <c r="J13" s="102">
        <v>3</v>
      </c>
      <c r="K13" s="102">
        <v>6</v>
      </c>
      <c r="L13" s="103">
        <v>74</v>
      </c>
      <c r="M13" s="102">
        <v>4</v>
      </c>
    </row>
    <row r="14" spans="2:13" ht="14.25" customHeight="1">
      <c r="B14" s="102">
        <v>1</v>
      </c>
      <c r="C14" s="102">
        <v>0.05</v>
      </c>
      <c r="D14" s="102" t="str">
        <f t="shared" ref="D14:D18" ca="1" si="2">+C14+D13</f>
        <v>0.05</v>
      </c>
      <c r="E14" s="115" t="s">
        <v>324</v>
      </c>
      <c r="G14" s="102" t="str">
        <f t="shared" ca="1" si="0"/>
        <v>12</v>
      </c>
      <c r="H14" s="102">
        <v>2</v>
      </c>
      <c r="I14" s="103">
        <v>91</v>
      </c>
      <c r="J14" s="102">
        <v>5</v>
      </c>
      <c r="K14" s="102">
        <v>7</v>
      </c>
      <c r="L14" s="103">
        <v>85</v>
      </c>
      <c r="M14" s="102">
        <v>4</v>
      </c>
    </row>
    <row r="15" spans="2:13" ht="14.25" customHeight="1">
      <c r="B15" s="102">
        <v>2</v>
      </c>
      <c r="C15" s="102">
        <v>0.15</v>
      </c>
      <c r="D15" s="102" t="str">
        <f t="shared" ca="1" si="2"/>
        <v>0.2</v>
      </c>
      <c r="E15" s="116" t="s">
        <v>325</v>
      </c>
      <c r="G15" s="102" t="str">
        <f t="shared" ca="1" si="0"/>
        <v>13</v>
      </c>
      <c r="H15" s="102">
        <v>3</v>
      </c>
      <c r="I15" s="103">
        <v>35</v>
      </c>
      <c r="J15" s="102">
        <v>2</v>
      </c>
      <c r="K15" s="102">
        <v>5</v>
      </c>
      <c r="L15" s="103">
        <v>90</v>
      </c>
      <c r="M15" s="102">
        <v>4</v>
      </c>
    </row>
    <row r="16" spans="2:13" ht="14.25" customHeight="1">
      <c r="B16" s="102">
        <v>3</v>
      </c>
      <c r="C16" s="102">
        <v>0.5</v>
      </c>
      <c r="D16" s="102" t="str">
        <f t="shared" ca="1" si="2"/>
        <v>0.7</v>
      </c>
      <c r="E16" s="117" t="s">
        <v>326</v>
      </c>
      <c r="G16" s="102" t="str">
        <f t="shared" ca="1" si="0"/>
        <v>14</v>
      </c>
      <c r="H16" s="102">
        <v>1</v>
      </c>
      <c r="I16" s="103">
        <v>32</v>
      </c>
      <c r="J16" s="102">
        <v>2</v>
      </c>
      <c r="K16" s="102">
        <v>3</v>
      </c>
      <c r="L16" s="103">
        <v>73</v>
      </c>
      <c r="M16" s="102">
        <v>3</v>
      </c>
    </row>
    <row r="17" spans="2:13" ht="14.25" customHeight="1">
      <c r="B17" s="102">
        <v>4</v>
      </c>
      <c r="C17" s="102">
        <v>0.2</v>
      </c>
      <c r="D17" s="102" t="str">
        <f t="shared" ca="1" si="2"/>
        <v>0.9</v>
      </c>
      <c r="E17" s="117" t="s">
        <v>321</v>
      </c>
      <c r="G17" s="102" t="str">
        <f t="shared" ca="1" si="0"/>
        <v>15</v>
      </c>
      <c r="H17" s="102">
        <v>0</v>
      </c>
      <c r="I17" s="103">
        <v>95</v>
      </c>
      <c r="J17" s="102">
        <v>5</v>
      </c>
      <c r="K17" s="102">
        <v>0</v>
      </c>
      <c r="L17" s="103">
        <v>59</v>
      </c>
      <c r="M17" s="102">
        <v>3</v>
      </c>
    </row>
    <row r="18" spans="2:13" ht="14.25" customHeight="1">
      <c r="B18" s="102">
        <v>5</v>
      </c>
      <c r="C18" s="102">
        <v>0.1</v>
      </c>
      <c r="D18" s="102" t="str">
        <f t="shared" ca="1" si="2"/>
        <v>1</v>
      </c>
      <c r="E18" s="117" t="s">
        <v>327</v>
      </c>
    </row>
    <row r="19" spans="2:13" ht="14.25" customHeight="1">
      <c r="G19" s="102" t="s">
        <v>328</v>
      </c>
      <c r="H19" s="102" t="str">
        <f ca="1">SUM(H3:H18)</f>
        <v>20</v>
      </c>
      <c r="I19" s="102" t="s">
        <v>329</v>
      </c>
      <c r="J19" s="102" t="str">
        <f ca="1">SUM(J3:J18)</f>
        <v>41</v>
      </c>
      <c r="L19" s="102" t="s">
        <v>330</v>
      </c>
      <c r="M19" s="102">
        <f ca="1">SUM(M3:M18)</f>
        <v>39</v>
      </c>
    </row>
    <row r="20" spans="2:13" ht="14.25" customHeight="1">
      <c r="H20" s="102">
        <f ca="1">+H19/15</f>
        <v>1.3333333333333333</v>
      </c>
      <c r="J20" s="102">
        <f ca="1">+J19/15</f>
        <v>2.7333333333333334</v>
      </c>
      <c r="M20" s="102">
        <f ca="1">+M19/15</f>
        <v>2.6</v>
      </c>
    </row>
    <row r="21" spans="2:13" ht="14.25" customHeight="1"/>
    <row r="22" spans="2:13" ht="14.25" customHeight="1"/>
    <row r="23" spans="2:13" ht="14.25" customHeight="1"/>
    <row r="24" spans="2:13" ht="14.25" customHeight="1"/>
    <row r="25" spans="2:13" ht="14.25" customHeight="1"/>
    <row r="26" spans="2:13" ht="14.25" customHeight="1"/>
    <row r="27" spans="2:13" ht="14.25" customHeight="1"/>
    <row r="28" spans="2:13" ht="14.25" customHeight="1"/>
    <row r="29" spans="2:13" ht="14.25" customHeight="1"/>
    <row r="30" spans="2:13" ht="14.25" customHeight="1"/>
    <row r="31" spans="2:13" ht="14.25" customHeight="1"/>
    <row r="32" spans="2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G1:J1"/>
    <mergeCell ref="K1:M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opLeftCell="A19" zoomScale="85" zoomScaleNormal="85" workbookViewId="0">
      <selection activeCell="T33" sqref="T33"/>
    </sheetView>
  </sheetViews>
  <sheetFormatPr baseColWidth="10" defaultRowHeight="15"/>
  <cols>
    <col min="1" max="1" width="3.5703125" customWidth="1"/>
    <col min="2" max="2" width="8.42578125" bestFit="1" customWidth="1"/>
    <col min="5" max="5" width="5.140625" customWidth="1"/>
    <col min="6" max="6" width="3.5703125" customWidth="1"/>
    <col min="7" max="7" width="10.42578125" customWidth="1"/>
    <col min="8" max="8" width="8.140625" customWidth="1"/>
    <col min="9" max="9" width="2.85546875" customWidth="1"/>
    <col min="10" max="10" width="7.7109375" customWidth="1"/>
    <col min="11" max="11" width="4.42578125" customWidth="1"/>
    <col min="12" max="12" width="10.85546875" customWidth="1"/>
    <col min="13" max="13" width="10.140625" bestFit="1" customWidth="1"/>
    <col min="15" max="15" width="4.28515625" customWidth="1"/>
    <col min="16" max="16" width="11.85546875" bestFit="1" customWidth="1"/>
    <col min="17" max="17" width="6" bestFit="1" customWidth="1"/>
  </cols>
  <sheetData>
    <row r="1" spans="1:21" ht="18.75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14" spans="1:21">
      <c r="B14" t="s">
        <v>17</v>
      </c>
      <c r="C14">
        <v>60</v>
      </c>
      <c r="D14" t="s">
        <v>37</v>
      </c>
      <c r="G14" t="s">
        <v>38</v>
      </c>
      <c r="H14" s="3" t="s">
        <v>5</v>
      </c>
      <c r="I14" s="4" t="s">
        <v>39</v>
      </c>
      <c r="J14" s="3" t="s">
        <v>40</v>
      </c>
      <c r="K14" s="4" t="s">
        <v>6</v>
      </c>
      <c r="L14" s="15">
        <f ca="1">+SQRT(2*C14*C20/C21)*SQRT((C21+C22)/C22)</f>
        <v>5.1842251567799869</v>
      </c>
      <c r="M14" s="6" t="s">
        <v>7</v>
      </c>
    </row>
    <row r="15" spans="1:21">
      <c r="B15" t="s">
        <v>13</v>
      </c>
      <c r="C15">
        <v>0.35</v>
      </c>
      <c r="D15" t="s">
        <v>41</v>
      </c>
      <c r="H15" s="7" t="s">
        <v>10</v>
      </c>
      <c r="J15" s="7" t="s">
        <v>42</v>
      </c>
    </row>
    <row r="16" spans="1:21">
      <c r="B16" t="s">
        <v>11</v>
      </c>
      <c r="C16">
        <v>1800</v>
      </c>
      <c r="D16" t="s">
        <v>12</v>
      </c>
    </row>
    <row r="17" spans="2:17">
      <c r="B17" t="s">
        <v>43</v>
      </c>
      <c r="C17">
        <v>160</v>
      </c>
      <c r="D17" t="s">
        <v>44</v>
      </c>
      <c r="G17" t="s">
        <v>45</v>
      </c>
      <c r="H17" s="3" t="s">
        <v>5</v>
      </c>
      <c r="I17" s="4" t="s">
        <v>39</v>
      </c>
      <c r="J17" s="3" t="s">
        <v>42</v>
      </c>
      <c r="K17" s="4" t="s">
        <v>6</v>
      </c>
      <c r="L17" s="15">
        <f ca="1">+SQRT(2*C14*C20/C21)*SQRT(C22/(C21+C22))</f>
        <v>1.2492108811518041</v>
      </c>
      <c r="M17" s="6" t="s">
        <v>7</v>
      </c>
      <c r="O17" s="16"/>
      <c r="P17">
        <f ca="1">+C14/L14</f>
        <v>11.573571398906418</v>
      </c>
    </row>
    <row r="18" spans="2:17">
      <c r="B18" t="s">
        <v>46</v>
      </c>
      <c r="C18">
        <v>12</v>
      </c>
      <c r="D18" t="s">
        <v>47</v>
      </c>
      <c r="H18" s="7" t="s">
        <v>10</v>
      </c>
      <c r="J18" s="7" t="s">
        <v>40</v>
      </c>
      <c r="K18" s="4"/>
    </row>
    <row r="19" spans="2:17">
      <c r="B19" t="s">
        <v>48</v>
      </c>
      <c r="C19">
        <v>2</v>
      </c>
      <c r="D19" t="s">
        <v>49</v>
      </c>
      <c r="G19" t="s">
        <v>50</v>
      </c>
      <c r="H19" s="17" t="s">
        <v>51</v>
      </c>
      <c r="I19" s="4"/>
      <c r="K19" s="4" t="s">
        <v>52</v>
      </c>
      <c r="L19" s="15">
        <f ca="1">+L14-L17</f>
        <v>3.9350142756281827</v>
      </c>
      <c r="M19" s="6" t="s">
        <v>7</v>
      </c>
    </row>
    <row r="20" spans="2:17">
      <c r="B20" t="s">
        <v>8</v>
      </c>
      <c r="C20">
        <f ca="1">+C17/60*C18+C19</f>
        <v>34</v>
      </c>
      <c r="D20" t="s">
        <v>49</v>
      </c>
      <c r="I20" s="4"/>
      <c r="K20" s="4"/>
    </row>
    <row r="21" spans="2:17">
      <c r="B21" t="s">
        <v>10</v>
      </c>
      <c r="C21">
        <f ca="1">+C16*C15</f>
        <v>630</v>
      </c>
      <c r="D21" t="s">
        <v>41</v>
      </c>
      <c r="G21" t="s">
        <v>53</v>
      </c>
      <c r="H21" s="8" t="s">
        <v>54</v>
      </c>
      <c r="I21" s="4" t="s">
        <v>55</v>
      </c>
      <c r="J21" s="4" t="s">
        <v>56</v>
      </c>
      <c r="K21" s="4" t="s">
        <v>55</v>
      </c>
      <c r="L21" s="8" t="s">
        <v>57</v>
      </c>
      <c r="M21" s="4" t="s">
        <v>55</v>
      </c>
      <c r="N21" s="8" t="s">
        <v>58</v>
      </c>
      <c r="O21" s="18" t="s">
        <v>6</v>
      </c>
      <c r="P21" s="5">
        <f ca="1">+C20*C14/L14+C14*C16+L17*L17*C21/2/L14+L19*L19*C22/2/L14</f>
        <v>108787.00285512564</v>
      </c>
      <c r="Q21" s="6" t="s">
        <v>32</v>
      </c>
    </row>
    <row r="22" spans="2:17">
      <c r="B22" t="s">
        <v>42</v>
      </c>
      <c r="C22">
        <v>200</v>
      </c>
      <c r="D22" t="s">
        <v>59</v>
      </c>
      <c r="H22" s="4" t="s">
        <v>60</v>
      </c>
      <c r="I22" s="4"/>
      <c r="K22" s="4"/>
      <c r="L22" s="4" t="s">
        <v>61</v>
      </c>
      <c r="N22" s="4" t="s">
        <v>61</v>
      </c>
    </row>
    <row r="23" spans="2:17">
      <c r="B23" t="s">
        <v>19</v>
      </c>
      <c r="C23">
        <v>12</v>
      </c>
      <c r="D23" t="s">
        <v>20</v>
      </c>
      <c r="G23" t="s">
        <v>62</v>
      </c>
      <c r="H23">
        <f ca="1">+C14/C24</f>
        <v>0.16666666666666666</v>
      </c>
      <c r="I23" t="s">
        <v>63</v>
      </c>
    </row>
    <row r="24" spans="2:17">
      <c r="B24" t="s">
        <v>64</v>
      </c>
      <c r="C24">
        <v>360</v>
      </c>
      <c r="D24" t="s">
        <v>65</v>
      </c>
    </row>
    <row r="25" spans="2:17">
      <c r="G25" t="s">
        <v>66</v>
      </c>
      <c r="J25" s="19">
        <f ca="1">+H23*C23</f>
        <v>2</v>
      </c>
    </row>
    <row r="27" spans="2:17">
      <c r="G27" t="s">
        <v>67</v>
      </c>
      <c r="H27" s="15">
        <f ca="1">+J25-L19</f>
        <v>-1.9350142756281827</v>
      </c>
      <c r="I27" s="6" t="s">
        <v>25</v>
      </c>
      <c r="J27" t="s">
        <v>68</v>
      </c>
    </row>
    <row r="29" spans="2:17">
      <c r="G29" t="s">
        <v>69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A10" zoomScale="115" zoomScaleNormal="115" workbookViewId="0">
      <selection activeCell="I20" sqref="I20"/>
    </sheetView>
  </sheetViews>
  <sheetFormatPr baseColWidth="10" defaultRowHeight="15"/>
  <cols>
    <col min="1" max="1" width="3.5703125" customWidth="1"/>
    <col min="2" max="2" width="3.140625" bestFit="1" customWidth="1"/>
    <col min="5" max="5" width="5.140625" customWidth="1"/>
    <col min="6" max="6" width="3.5703125" customWidth="1"/>
    <col min="7" max="7" width="11.5703125" customWidth="1"/>
    <col min="8" max="10" width="13.42578125" customWidth="1"/>
    <col min="11" max="11" width="10.140625" bestFit="1" customWidth="1"/>
    <col min="13" max="13" width="3.85546875" customWidth="1"/>
    <col min="15" max="15" width="11.85546875" customWidth="1"/>
  </cols>
  <sheetData>
    <row r="1" spans="1:21" ht="18.75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>
      <c r="N3" t="s">
        <v>4</v>
      </c>
      <c r="O3" s="3" t="s">
        <v>5</v>
      </c>
    </row>
    <row r="4" spans="1:21">
      <c r="O4" s="7" t="s">
        <v>10</v>
      </c>
    </row>
    <row r="7" spans="1:21">
      <c r="N7" t="s">
        <v>71</v>
      </c>
    </row>
    <row r="15" spans="1:21">
      <c r="B15" t="s">
        <v>17</v>
      </c>
      <c r="C15">
        <v>5000</v>
      </c>
      <c r="D15" t="s">
        <v>27</v>
      </c>
      <c r="G15" s="105" t="s">
        <v>72</v>
      </c>
      <c r="H15" s="20">
        <v>1</v>
      </c>
      <c r="I15" s="20">
        <v>2</v>
      </c>
      <c r="J15" s="20">
        <v>3</v>
      </c>
    </row>
    <row r="16" spans="1:21">
      <c r="B16" t="s">
        <v>13</v>
      </c>
      <c r="C16">
        <v>0.2</v>
      </c>
      <c r="G16" s="106"/>
      <c r="H16" s="21" t="s">
        <v>73</v>
      </c>
      <c r="I16" s="21" t="s">
        <v>74</v>
      </c>
      <c r="J16" s="21" t="s">
        <v>75</v>
      </c>
    </row>
    <row r="17" spans="2:10">
      <c r="B17" t="s">
        <v>8</v>
      </c>
      <c r="C17">
        <v>49</v>
      </c>
      <c r="D17" t="s">
        <v>49</v>
      </c>
      <c r="G17" s="22" t="s">
        <v>11</v>
      </c>
      <c r="H17" s="23">
        <v>5</v>
      </c>
      <c r="I17" s="23">
        <v>4.8499999999999996</v>
      </c>
      <c r="J17" s="23">
        <v>4.75</v>
      </c>
    </row>
    <row r="18" spans="2:10">
      <c r="G18" s="24" t="s">
        <v>10</v>
      </c>
      <c r="H18" s="23">
        <f ca="1">+$C$16*H17</f>
        <v>1</v>
      </c>
      <c r="I18" s="23">
        <f t="shared" ref="I18:J18" ca="1" si="0">+$C$16*I17</f>
        <v>0.97</v>
      </c>
      <c r="J18" s="23">
        <f t="shared" ca="1" si="0"/>
        <v>0.95000000000000007</v>
      </c>
    </row>
    <row r="19" spans="2:10">
      <c r="G19" s="25" t="s">
        <v>76</v>
      </c>
      <c r="H19" s="26">
        <f ca="1">+SQRT(2*$C$15*$C$17/H18)</f>
        <v>700</v>
      </c>
      <c r="I19" s="26">
        <f t="shared" ref="I19:J19" ca="1" si="1">+SQRT(2*$C$15*$C$17/I18)</f>
        <v>710.74231559353336</v>
      </c>
      <c r="J19" s="26">
        <f t="shared" ca="1" si="1"/>
        <v>718.1848464596078</v>
      </c>
    </row>
    <row r="20" spans="2:10">
      <c r="G20" s="27" t="s">
        <v>77</v>
      </c>
      <c r="H20" s="28">
        <f ca="1">+H19</f>
        <v>700</v>
      </c>
      <c r="I20" s="29">
        <v>1000</v>
      </c>
      <c r="J20" s="28">
        <v>2500</v>
      </c>
    </row>
    <row r="21" spans="2:10">
      <c r="G21" s="30" t="s">
        <v>78</v>
      </c>
      <c r="H21" s="31">
        <f ca="1">+$C$15*H17+H18*H20/2+$C$17*$C$15/H20</f>
        <v>25700</v>
      </c>
      <c r="I21" s="32">
        <f ca="1">+$C$15*I17+I18*I20/2+$C$17*$C$15/I20</f>
        <v>24980</v>
      </c>
      <c r="J21" s="31">
        <f ca="1">+$C$15*J17+J18*J20/2+$C$17*$C$15/J20</f>
        <v>25035.5</v>
      </c>
    </row>
    <row r="22" spans="2:10">
      <c r="H22" s="4"/>
      <c r="I22" s="119"/>
      <c r="J22" s="4"/>
    </row>
    <row r="23" spans="2:10">
      <c r="G23" s="14" t="s">
        <v>331</v>
      </c>
      <c r="I23" s="120"/>
    </row>
    <row r="24" spans="2:10" ht="14.45" customHeight="1"/>
  </sheetData>
  <mergeCells count="1">
    <mergeCell ref="G15:G1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D8" sqref="D8"/>
    </sheetView>
  </sheetViews>
  <sheetFormatPr baseColWidth="10" defaultRowHeight="15"/>
  <cols>
    <col min="1" max="1" width="3" customWidth="1"/>
    <col min="2" max="2" width="4.85546875" bestFit="1" customWidth="1"/>
    <col min="3" max="3" width="10.5703125" bestFit="1" customWidth="1"/>
    <col min="4" max="4" width="8.42578125" bestFit="1" customWidth="1"/>
    <col min="5" max="5" width="4" customWidth="1"/>
    <col min="6" max="6" width="3.140625" customWidth="1"/>
    <col min="7" max="7" width="10.140625" customWidth="1"/>
    <col min="8" max="8" width="15.140625" customWidth="1"/>
    <col min="9" max="9" width="3.42578125" customWidth="1"/>
    <col min="10" max="11" width="11.140625" bestFit="1" customWidth="1"/>
  </cols>
  <sheetData>
    <row r="1" spans="1:21" ht="18.75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6" spans="1:21">
      <c r="B6" t="s">
        <v>80</v>
      </c>
      <c r="C6" s="2">
        <v>10000</v>
      </c>
      <c r="D6" t="s">
        <v>81</v>
      </c>
      <c r="F6" t="s">
        <v>3</v>
      </c>
      <c r="G6" t="s">
        <v>4</v>
      </c>
      <c r="H6" s="3" t="s">
        <v>5</v>
      </c>
      <c r="I6" s="4" t="s">
        <v>6</v>
      </c>
      <c r="J6" s="33">
        <f ca="1">+SQRT(2*C11*C9/(C8*(1-C6/C7)))</f>
        <v>86602.540378443868</v>
      </c>
      <c r="K6" s="6" t="s">
        <v>7</v>
      </c>
    </row>
    <row r="7" spans="1:21">
      <c r="B7" t="s">
        <v>82</v>
      </c>
      <c r="C7" s="2">
        <v>25000</v>
      </c>
      <c r="D7" t="s">
        <v>81</v>
      </c>
      <c r="H7" s="7" t="s">
        <v>83</v>
      </c>
    </row>
    <row r="8" spans="1:21">
      <c r="B8" t="s">
        <v>84</v>
      </c>
      <c r="C8" s="34">
        <v>0.02</v>
      </c>
      <c r="D8" t="s">
        <v>23</v>
      </c>
    </row>
    <row r="9" spans="1:21">
      <c r="B9" t="s">
        <v>85</v>
      </c>
      <c r="C9" s="2">
        <v>18</v>
      </c>
      <c r="D9" t="s">
        <v>86</v>
      </c>
      <c r="H9" s="35" t="s">
        <v>87</v>
      </c>
      <c r="I9" s="35"/>
      <c r="J9" s="36">
        <f ca="1">+J6/C7</f>
        <v>3.4641016151377548</v>
      </c>
      <c r="K9" t="s">
        <v>20</v>
      </c>
    </row>
    <row r="10" spans="1:21">
      <c r="B10" t="s">
        <v>64</v>
      </c>
      <c r="C10" s="2">
        <v>250</v>
      </c>
      <c r="D10" t="s">
        <v>88</v>
      </c>
    </row>
    <row r="11" spans="1:21">
      <c r="B11" t="s">
        <v>89</v>
      </c>
      <c r="C11" s="2">
        <f ca="1">+C10*C6</f>
        <v>2500000</v>
      </c>
      <c r="D11" t="s">
        <v>37</v>
      </c>
      <c r="H11" s="14" t="s">
        <v>90</v>
      </c>
      <c r="J11" s="36">
        <f ca="1">+J6/C6</f>
        <v>8.6602540378443873</v>
      </c>
      <c r="K11" t="s">
        <v>20</v>
      </c>
    </row>
    <row r="12" spans="1:21">
      <c r="B12" t="s">
        <v>91</v>
      </c>
      <c r="C12" s="11">
        <f ca="1">+C10*C7</f>
        <v>6250000</v>
      </c>
      <c r="D12" t="s">
        <v>37</v>
      </c>
      <c r="J12" s="9">
        <f ca="1">+J11-J9</f>
        <v>5.196152422706632</v>
      </c>
    </row>
    <row r="13" spans="1:21">
      <c r="H13" t="s">
        <v>92</v>
      </c>
      <c r="I13">
        <v>1</v>
      </c>
      <c r="J13" t="s">
        <v>93</v>
      </c>
    </row>
    <row r="15" spans="1:21">
      <c r="H15" s="14" t="s">
        <v>94</v>
      </c>
      <c r="I15" s="14"/>
      <c r="J15" s="37">
        <f ca="1">+I13*C6</f>
        <v>10000</v>
      </c>
      <c r="K15" s="14" t="s">
        <v>95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4"/>
  <sheetViews>
    <sheetView topLeftCell="A16" workbookViewId="0">
      <selection activeCell="N34" sqref="N34"/>
    </sheetView>
  </sheetViews>
  <sheetFormatPr baseColWidth="10" defaultRowHeight="15"/>
  <cols>
    <col min="1" max="1" width="6.5703125" customWidth="1"/>
    <col min="2" max="2" width="4.140625" customWidth="1"/>
    <col min="3" max="3" width="4.7109375" customWidth="1"/>
    <col min="4" max="6" width="6.5703125" customWidth="1"/>
    <col min="7" max="7" width="16.140625" customWidth="1"/>
    <col min="8" max="8" width="15.7109375" customWidth="1"/>
  </cols>
  <sheetData>
    <row r="2" spans="2:8">
      <c r="C2" s="4"/>
      <c r="D2" s="4" t="s">
        <v>96</v>
      </c>
      <c r="E2" s="121" t="s">
        <v>97</v>
      </c>
      <c r="F2" s="4" t="s">
        <v>98</v>
      </c>
    </row>
    <row r="3" spans="2:8">
      <c r="C3" s="4" t="s">
        <v>100</v>
      </c>
      <c r="D3" s="4">
        <v>-8</v>
      </c>
      <c r="E3" s="121">
        <v>8</v>
      </c>
      <c r="F3" s="4">
        <v>2</v>
      </c>
    </row>
    <row r="4" spans="2:8">
      <c r="C4" s="4" t="s">
        <v>102</v>
      </c>
      <c r="D4" s="4">
        <v>-3</v>
      </c>
      <c r="E4" s="121">
        <v>4</v>
      </c>
      <c r="F4" s="4">
        <v>-5</v>
      </c>
    </row>
    <row r="5" spans="2:8">
      <c r="C5" s="121" t="s">
        <v>103</v>
      </c>
      <c r="D5" s="121">
        <v>-3</v>
      </c>
      <c r="E5" s="121">
        <v>-4</v>
      </c>
      <c r="F5" s="121">
        <v>-6</v>
      </c>
    </row>
    <row r="8" spans="2:8">
      <c r="C8" s="4"/>
      <c r="D8" s="4" t="s">
        <v>96</v>
      </c>
      <c r="E8" s="4" t="s">
        <v>97</v>
      </c>
      <c r="F8" s="4" t="s">
        <v>98</v>
      </c>
      <c r="G8" s="4"/>
      <c r="H8" t="s">
        <v>99</v>
      </c>
    </row>
    <row r="9" spans="2:8">
      <c r="C9" s="4" t="s">
        <v>100</v>
      </c>
      <c r="D9" s="4">
        <v>-8</v>
      </c>
      <c r="E9" s="4">
        <v>8</v>
      </c>
      <c r="F9" s="4">
        <v>2</v>
      </c>
      <c r="H9" t="s">
        <v>101</v>
      </c>
    </row>
    <row r="10" spans="2:8">
      <c r="C10" s="4" t="s">
        <v>102</v>
      </c>
      <c r="D10" s="4">
        <v>-3</v>
      </c>
      <c r="E10" s="4">
        <v>4</v>
      </c>
      <c r="F10" s="4">
        <v>-5</v>
      </c>
    </row>
    <row r="11" spans="2:8">
      <c r="C11" s="4" t="s">
        <v>103</v>
      </c>
      <c r="D11" s="4">
        <v>-3</v>
      </c>
      <c r="E11" s="4">
        <v>-4</v>
      </c>
      <c r="F11" s="4">
        <v>-6</v>
      </c>
    </row>
    <row r="13" spans="2:8">
      <c r="C13" s="38" t="s">
        <v>104</v>
      </c>
    </row>
    <row r="14" spans="2:8" ht="9.75" customHeight="1"/>
    <row r="15" spans="2:8">
      <c r="C15" s="38" t="s">
        <v>105</v>
      </c>
    </row>
    <row r="16" spans="2:8">
      <c r="B16" s="39"/>
      <c r="C16" s="39"/>
      <c r="D16" s="40"/>
      <c r="E16" s="41">
        <v>2</v>
      </c>
      <c r="F16" s="40"/>
      <c r="G16" s="39"/>
    </row>
    <row r="17" spans="2:12">
      <c r="B17" s="39"/>
      <c r="C17" s="40"/>
      <c r="D17" s="40" t="s">
        <v>96</v>
      </c>
      <c r="E17" s="41" t="s">
        <v>97</v>
      </c>
      <c r="F17" s="40" t="s">
        <v>98</v>
      </c>
      <c r="G17" s="39"/>
      <c r="H17" s="38" t="s">
        <v>106</v>
      </c>
    </row>
    <row r="18" spans="2:12">
      <c r="B18" s="40"/>
      <c r="C18" s="40" t="s">
        <v>100</v>
      </c>
      <c r="D18" s="40">
        <v>-8</v>
      </c>
      <c r="E18" s="41">
        <v>8</v>
      </c>
      <c r="F18" s="40">
        <v>2</v>
      </c>
      <c r="G18" s="39"/>
      <c r="H18" t="s">
        <v>107</v>
      </c>
    </row>
    <row r="19" spans="2:12">
      <c r="B19" s="40"/>
      <c r="C19" s="40" t="s">
        <v>102</v>
      </c>
      <c r="D19" s="40">
        <v>-3</v>
      </c>
      <c r="E19" s="41">
        <v>4</v>
      </c>
      <c r="F19" s="40">
        <v>-5</v>
      </c>
      <c r="G19" s="39"/>
    </row>
    <row r="20" spans="2:12">
      <c r="B20" s="42">
        <v>1</v>
      </c>
      <c r="C20" s="42" t="s">
        <v>103</v>
      </c>
      <c r="D20" s="42">
        <v>-3</v>
      </c>
      <c r="E20" s="42">
        <v>-4</v>
      </c>
      <c r="F20" s="42">
        <v>-6</v>
      </c>
      <c r="G20" s="39"/>
    </row>
    <row r="21" spans="2:12">
      <c r="C21" s="4"/>
      <c r="D21" s="4"/>
      <c r="E21" s="4"/>
      <c r="F21" s="4"/>
    </row>
    <row r="22" spans="2:12">
      <c r="C22" s="38" t="s">
        <v>108</v>
      </c>
    </row>
    <row r="24" spans="2:12">
      <c r="C24" s="40"/>
      <c r="D24" s="40" t="s">
        <v>96</v>
      </c>
      <c r="E24" s="40" t="s">
        <v>98</v>
      </c>
      <c r="H24" t="s">
        <v>109</v>
      </c>
    </row>
    <row r="25" spans="2:12">
      <c r="C25" s="40" t="s">
        <v>100</v>
      </c>
      <c r="D25" s="40">
        <v>-8</v>
      </c>
      <c r="E25" s="40">
        <v>2</v>
      </c>
      <c r="F25" s="4" t="s">
        <v>21</v>
      </c>
      <c r="H25" s="43" t="s">
        <v>110</v>
      </c>
      <c r="K25" s="43" t="s">
        <v>111</v>
      </c>
    </row>
    <row r="26" spans="2:12">
      <c r="C26" s="40" t="s">
        <v>102</v>
      </c>
      <c r="D26" s="40">
        <v>-3</v>
      </c>
      <c r="E26" s="40">
        <v>-5</v>
      </c>
      <c r="F26" s="4" t="s">
        <v>112</v>
      </c>
      <c r="H26" s="43" t="s">
        <v>113</v>
      </c>
      <c r="K26" s="43" t="s">
        <v>114</v>
      </c>
    </row>
    <row r="27" spans="2:12">
      <c r="D27" s="4" t="s">
        <v>115</v>
      </c>
      <c r="E27" s="4" t="s">
        <v>116</v>
      </c>
      <c r="H27" s="43" t="s">
        <v>117</v>
      </c>
      <c r="K27" s="43" t="s">
        <v>118</v>
      </c>
    </row>
    <row r="28" spans="2:12">
      <c r="H28" s="44" t="s">
        <v>119</v>
      </c>
      <c r="I28" s="45">
        <v>0.58333333333333337</v>
      </c>
      <c r="K28" s="44" t="s">
        <v>120</v>
      </c>
      <c r="L28" s="45">
        <v>0.16666666666666666</v>
      </c>
    </row>
    <row r="29" spans="2:12">
      <c r="H29" s="46" t="s">
        <v>121</v>
      </c>
      <c r="I29" s="47">
        <f ca="1">1-I28</f>
        <v>0.41666666666666663</v>
      </c>
      <c r="K29" s="46" t="s">
        <v>122</v>
      </c>
      <c r="L29" s="47">
        <f ca="1">1-L28</f>
        <v>0.83333333333333337</v>
      </c>
    </row>
    <row r="31" spans="2:12">
      <c r="G31" s="14" t="s">
        <v>123</v>
      </c>
      <c r="H31" t="s">
        <v>124</v>
      </c>
    </row>
    <row r="33" spans="7:10">
      <c r="G33" s="48" t="s">
        <v>123</v>
      </c>
      <c r="H33" s="49">
        <f ca="1">+L28*(D25*I28+E25*I29)+L29*(D26*I28+E26*I29)</f>
        <v>-3.833333333333333</v>
      </c>
      <c r="J33" s="50"/>
    </row>
    <row r="34" spans="7:10">
      <c r="G34" t="s">
        <v>125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opLeftCell="A22" zoomScaleNormal="100" workbookViewId="0">
      <selection activeCell="C35" sqref="C35"/>
    </sheetView>
  </sheetViews>
  <sheetFormatPr baseColWidth="10" defaultRowHeight="15"/>
  <cols>
    <col min="1" max="1" width="5.7109375" customWidth="1"/>
    <col min="2" max="2" width="2.42578125" bestFit="1" customWidth="1"/>
    <col min="3" max="6" width="9.140625" customWidth="1"/>
    <col min="7" max="7" width="4.85546875" customWidth="1"/>
    <col min="8" max="11" width="9.140625" customWidth="1"/>
    <col min="12" max="12" width="5.5703125" customWidth="1"/>
    <col min="13" max="16" width="9.140625" customWidth="1"/>
    <col min="17" max="17" width="4.5703125" customWidth="1"/>
  </cols>
  <sheetData>
    <row r="1" spans="1:12">
      <c r="L1" s="4"/>
    </row>
    <row r="10" spans="1:12">
      <c r="A10" s="62" t="s">
        <v>126</v>
      </c>
    </row>
    <row r="13" spans="1:12">
      <c r="C13" s="14" t="s">
        <v>127</v>
      </c>
      <c r="D13" s="4" t="s">
        <v>128</v>
      </c>
      <c r="E13" s="4" t="s">
        <v>129</v>
      </c>
      <c r="F13" s="4" t="s">
        <v>130</v>
      </c>
      <c r="I13" s="4"/>
      <c r="J13" s="4"/>
      <c r="K13" s="4"/>
    </row>
    <row r="14" spans="1:12">
      <c r="C14" s="4" t="s">
        <v>128</v>
      </c>
      <c r="D14" s="4">
        <v>0.79999999999999993</v>
      </c>
      <c r="E14" s="4">
        <v>0.15</v>
      </c>
      <c r="F14" s="4">
        <v>0.05</v>
      </c>
      <c r="I14" s="51"/>
      <c r="J14" s="51"/>
      <c r="K14" s="51"/>
    </row>
    <row r="15" spans="1:12">
      <c r="C15" s="4" t="s">
        <v>129</v>
      </c>
      <c r="D15" s="4">
        <v>0.06</v>
      </c>
      <c r="E15" s="4">
        <v>0.89999999999999991</v>
      </c>
      <c r="F15" s="4">
        <v>0.04</v>
      </c>
    </row>
    <row r="16" spans="1:12">
      <c r="C16" s="4" t="s">
        <v>130</v>
      </c>
      <c r="D16" s="4">
        <v>0.04</v>
      </c>
      <c r="E16" s="4">
        <v>0.06</v>
      </c>
      <c r="F16" s="4">
        <v>0.89999999999999991</v>
      </c>
    </row>
    <row r="18" spans="1:20">
      <c r="B18" s="14" t="s">
        <v>3</v>
      </c>
      <c r="C18" s="14" t="s">
        <v>131</v>
      </c>
      <c r="D18" s="14"/>
    </row>
    <row r="19" spans="1:20">
      <c r="B19" s="14"/>
      <c r="C19" s="52" t="s">
        <v>132</v>
      </c>
      <c r="D19" s="14"/>
    </row>
    <row r="21" spans="1:20">
      <c r="C21" s="53" t="s">
        <v>136</v>
      </c>
      <c r="D21" s="4" t="str">
        <f t="shared" ref="D21:F24" ca="1" si="0">+D13</f>
        <v>Urbana</v>
      </c>
      <c r="E21" s="4" t="str">
        <f t="shared" ca="1" si="0"/>
        <v>Sub Ur</v>
      </c>
      <c r="F21" s="4" t="str">
        <f t="shared" ca="1" si="0"/>
        <v>Rural</v>
      </c>
      <c r="H21" s="53" t="s">
        <v>133</v>
      </c>
      <c r="I21" s="4" t="str">
        <f ca="1">+D21</f>
        <v>Urbana</v>
      </c>
      <c r="J21" s="4" t="str">
        <f t="shared" ref="J21:K21" ca="1" si="1">+E21</f>
        <v>Sub Ur</v>
      </c>
      <c r="K21" s="4" t="str">
        <f t="shared" ca="1" si="1"/>
        <v>Rural</v>
      </c>
      <c r="M21" s="53" t="s">
        <v>100</v>
      </c>
      <c r="N21" s="4" t="str">
        <f ca="1">+I21</f>
        <v>Urbana</v>
      </c>
      <c r="O21" s="4" t="str">
        <f t="shared" ref="O21:P21" ca="1" si="2">+J21</f>
        <v>Sub Ur</v>
      </c>
      <c r="P21" s="4" t="str">
        <f t="shared" ca="1" si="2"/>
        <v>Rural</v>
      </c>
    </row>
    <row r="22" spans="1:20">
      <c r="C22" s="4" t="str">
        <f ca="1">+C14</f>
        <v>Urbana</v>
      </c>
      <c r="D22" s="51">
        <v>1</v>
      </c>
      <c r="E22" s="51">
        <v>0</v>
      </c>
      <c r="F22" s="51">
        <v>0</v>
      </c>
      <c r="H22" s="4" t="str">
        <f ca="1">+C22</f>
        <v>Urbana</v>
      </c>
      <c r="I22" s="4">
        <f ca="1">+$D$14</f>
        <v>0.79999999999999993</v>
      </c>
      <c r="J22" s="4">
        <f ca="1">+$E$14</f>
        <v>0.15</v>
      </c>
      <c r="K22" s="4">
        <f ca="1">+$F$14</f>
        <v>0.05</v>
      </c>
      <c r="M22" s="42" t="str">
        <f t="shared" ref="M22:M24" ca="1" si="3">+H22</f>
        <v>Urbana</v>
      </c>
      <c r="N22" s="122">
        <f ca="1">+$D22*I$22+$E22*I$23+$F22*I$24</f>
        <v>0.79999999999999993</v>
      </c>
      <c r="O22" s="122">
        <f t="shared" ref="N22:P24" ca="1" si="4">+$D22*J$22+$E22*J$23+$F22*J$24</f>
        <v>0.15</v>
      </c>
      <c r="P22" s="122">
        <f t="shared" ca="1" si="4"/>
        <v>0.05</v>
      </c>
    </row>
    <row r="23" spans="1:20">
      <c r="C23" s="4" t="str">
        <f ca="1">+C15</f>
        <v>Sub Ur</v>
      </c>
      <c r="D23" s="4"/>
      <c r="E23" s="4"/>
      <c r="F23" s="4"/>
      <c r="G23" s="4" t="s">
        <v>135</v>
      </c>
      <c r="H23" s="4" t="str">
        <f t="shared" ref="H23:H24" ca="1" si="5">+C23</f>
        <v>Sub Ur</v>
      </c>
      <c r="I23" s="4">
        <f ca="1">+$D$15</f>
        <v>0.06</v>
      </c>
      <c r="J23" s="4">
        <f ca="1">+$E$15</f>
        <v>0.89999999999999991</v>
      </c>
      <c r="K23" s="4">
        <f ca="1">+$F$15</f>
        <v>0.04</v>
      </c>
      <c r="L23" s="4" t="s">
        <v>6</v>
      </c>
      <c r="M23" s="4" t="str">
        <f t="shared" ca="1" si="3"/>
        <v>Sub Ur</v>
      </c>
      <c r="N23" s="51">
        <f t="shared" ca="1" si="4"/>
        <v>0</v>
      </c>
      <c r="O23" s="51">
        <f t="shared" ca="1" si="4"/>
        <v>0</v>
      </c>
      <c r="P23" s="51">
        <f t="shared" ca="1" si="4"/>
        <v>0</v>
      </c>
    </row>
    <row r="24" spans="1:20">
      <c r="C24" s="4" t="str">
        <f ca="1">+C16</f>
        <v>Rural</v>
      </c>
      <c r="D24" s="4"/>
      <c r="E24" s="4"/>
      <c r="F24" s="4"/>
      <c r="H24" s="4" t="str">
        <f t="shared" ca="1" si="5"/>
        <v>Rural</v>
      </c>
      <c r="I24" s="4">
        <f ca="1">+$D$16</f>
        <v>0.04</v>
      </c>
      <c r="J24" s="4">
        <f ca="1">+$E$16</f>
        <v>0.06</v>
      </c>
      <c r="K24" s="4">
        <f ca="1">+$F$16</f>
        <v>0.89999999999999991</v>
      </c>
      <c r="M24" s="4" t="str">
        <f t="shared" ca="1" si="3"/>
        <v>Rural</v>
      </c>
      <c r="N24" s="51">
        <f t="shared" ca="1" si="4"/>
        <v>0</v>
      </c>
      <c r="O24" s="51">
        <f t="shared" ca="1" si="4"/>
        <v>0</v>
      </c>
      <c r="P24" s="51">
        <f t="shared" ca="1" si="4"/>
        <v>0</v>
      </c>
    </row>
    <row r="25" spans="1:20" ht="15.75" thickBot="1">
      <c r="C25" s="4"/>
      <c r="H25" s="4"/>
      <c r="M25" s="4"/>
    </row>
    <row r="26" spans="1:20">
      <c r="C26" s="53" t="s">
        <v>100</v>
      </c>
      <c r="D26" s="4" t="str">
        <f ca="1">+D21</f>
        <v>Urbana</v>
      </c>
      <c r="E26" s="4" t="str">
        <f t="shared" ref="E26:F26" ca="1" si="6">+E21</f>
        <v>Sub Ur</v>
      </c>
      <c r="F26" s="4" t="str">
        <f t="shared" ca="1" si="6"/>
        <v>Rural</v>
      </c>
      <c r="H26" s="53" t="s">
        <v>133</v>
      </c>
      <c r="I26" s="4" t="str">
        <f ca="1">+I21</f>
        <v>Urbana</v>
      </c>
      <c r="J26" s="4" t="str">
        <f t="shared" ref="J26:K26" ca="1" si="7">+J21</f>
        <v>Sub Ur</v>
      </c>
      <c r="K26" s="4" t="str">
        <f t="shared" ca="1" si="7"/>
        <v>Rural</v>
      </c>
      <c r="M26" s="53" t="s">
        <v>102</v>
      </c>
      <c r="N26" s="4" t="str">
        <f ca="1">+N21</f>
        <v>Urbana</v>
      </c>
      <c r="O26" s="4" t="str">
        <f t="shared" ref="O26:P26" ca="1" si="8">+O21</f>
        <v>Sub Ur</v>
      </c>
      <c r="P26" s="4" t="str">
        <f t="shared" ca="1" si="8"/>
        <v>Rural</v>
      </c>
      <c r="R26" s="54" t="s">
        <v>137</v>
      </c>
      <c r="S26" s="55"/>
    </row>
    <row r="27" spans="1:20">
      <c r="C27" s="4" t="str">
        <f ca="1">+C22</f>
        <v>Urbana</v>
      </c>
      <c r="D27" s="51">
        <v>0.79999999999999993</v>
      </c>
      <c r="E27" s="51">
        <v>0.15</v>
      </c>
      <c r="F27" s="51">
        <v>0.05</v>
      </c>
      <c r="H27" s="4" t="str">
        <f ca="1">+H22</f>
        <v>Urbana</v>
      </c>
      <c r="I27" s="51">
        <v>0.79999999999999993</v>
      </c>
      <c r="J27" s="51">
        <v>0.15</v>
      </c>
      <c r="K27" s="51">
        <v>0.05</v>
      </c>
      <c r="M27" s="4" t="str">
        <f ca="1">+M22</f>
        <v>Urbana</v>
      </c>
      <c r="N27" s="56">
        <f ca="1">+$D27*I$27+$E27*I$28+$F27*I$29</f>
        <v>0.65099999999999991</v>
      </c>
      <c r="O27" s="56">
        <f t="shared" ref="N27:P29" ca="1" si="9">+$D27*J$27+$E27*J$28+$F27*J$29</f>
        <v>0.25799999999999995</v>
      </c>
      <c r="P27" s="56">
        <f t="shared" ca="1" si="9"/>
        <v>9.0999999999999998E-2</v>
      </c>
      <c r="R27" s="57" t="str">
        <f ca="1">+M27</f>
        <v>Urbana</v>
      </c>
      <c r="S27" s="58">
        <f ca="1">+N27</f>
        <v>0.65099999999999991</v>
      </c>
      <c r="T27">
        <v>0.65099999999999991</v>
      </c>
    </row>
    <row r="28" spans="1:20">
      <c r="C28" s="4" t="str">
        <f t="shared" ref="C28:C29" ca="1" si="10">+C23</f>
        <v>Sub Ur</v>
      </c>
      <c r="D28" s="51"/>
      <c r="E28" s="51"/>
      <c r="F28" s="51"/>
      <c r="G28" s="4" t="s">
        <v>135</v>
      </c>
      <c r="H28" s="4" t="str">
        <f t="shared" ref="H28:H29" ca="1" si="11">+H23</f>
        <v>Sub Ur</v>
      </c>
      <c r="I28" s="51">
        <v>0.06</v>
      </c>
      <c r="J28" s="51">
        <v>0.89999999999999991</v>
      </c>
      <c r="K28" s="51">
        <v>0.04</v>
      </c>
      <c r="L28" s="4" t="s">
        <v>6</v>
      </c>
      <c r="M28" s="4" t="str">
        <f t="shared" ref="M28:M29" ca="1" si="12">+M23</f>
        <v>Sub Ur</v>
      </c>
      <c r="N28" s="51">
        <f t="shared" ca="1" si="9"/>
        <v>0</v>
      </c>
      <c r="O28" s="51">
        <f t="shared" ca="1" si="9"/>
        <v>0</v>
      </c>
      <c r="P28" s="51">
        <f t="shared" ca="1" si="9"/>
        <v>0</v>
      </c>
      <c r="R28" s="57" t="str">
        <f t="shared" ref="R28:R29" ca="1" si="13">+M28</f>
        <v>Sub Ur</v>
      </c>
      <c r="S28" s="58">
        <f ca="1">+O27</f>
        <v>0.25799999999999995</v>
      </c>
      <c r="T28">
        <v>0.25799999999999995</v>
      </c>
    </row>
    <row r="29" spans="1:20" ht="15.75" thickBot="1">
      <c r="C29" s="4" t="str">
        <f t="shared" ca="1" si="10"/>
        <v>Rural</v>
      </c>
      <c r="D29" s="51"/>
      <c r="E29" s="51"/>
      <c r="F29" s="51"/>
      <c r="H29" s="4" t="str">
        <f t="shared" ca="1" si="11"/>
        <v>Rural</v>
      </c>
      <c r="I29" s="51">
        <v>0.04</v>
      </c>
      <c r="J29" s="51">
        <v>0.06</v>
      </c>
      <c r="K29" s="51">
        <v>0.89999999999999991</v>
      </c>
      <c r="M29" s="4" t="str">
        <f t="shared" ca="1" si="12"/>
        <v>Rural</v>
      </c>
      <c r="N29" s="51">
        <f t="shared" ca="1" si="9"/>
        <v>0</v>
      </c>
      <c r="O29" s="51">
        <f t="shared" ca="1" si="9"/>
        <v>0</v>
      </c>
      <c r="P29" s="51">
        <f t="shared" ca="1" si="9"/>
        <v>0</v>
      </c>
      <c r="R29" s="59" t="str">
        <f t="shared" ca="1" si="13"/>
        <v>Rural</v>
      </c>
      <c r="S29" s="60">
        <f ca="1">+P27</f>
        <v>9.0999999999999998E-2</v>
      </c>
      <c r="T29">
        <v>9.0999999999999998E-2</v>
      </c>
    </row>
    <row r="30" spans="1:20">
      <c r="C30" s="4"/>
      <c r="H30" s="4"/>
      <c r="M30" s="4"/>
    </row>
    <row r="31" spans="1:20">
      <c r="A31" s="14"/>
      <c r="B31" s="14" t="s">
        <v>15</v>
      </c>
      <c r="C31" s="14" t="s">
        <v>138</v>
      </c>
      <c r="H31" s="4"/>
      <c r="M31" s="4"/>
      <c r="N31" s="50"/>
      <c r="O31" s="50"/>
      <c r="P31" s="50"/>
    </row>
    <row r="32" spans="1:20">
      <c r="C32" s="38" t="s">
        <v>139</v>
      </c>
      <c r="H32" s="4"/>
      <c r="M32" s="4"/>
    </row>
    <row r="33" spans="2:19" ht="15.75" thickBot="1">
      <c r="C33" s="38"/>
      <c r="H33" s="4"/>
      <c r="M33" s="4"/>
    </row>
    <row r="34" spans="2:19">
      <c r="C34" s="53" t="s">
        <v>333</v>
      </c>
      <c r="D34" s="4" t="str">
        <f ca="1">+D26</f>
        <v>Urbana</v>
      </c>
      <c r="E34" s="4" t="str">
        <f t="shared" ref="E34:F34" ca="1" si="14">+E26</f>
        <v>Sub Ur</v>
      </c>
      <c r="F34" s="4" t="str">
        <f t="shared" ca="1" si="14"/>
        <v>Rural</v>
      </c>
      <c r="H34" s="53" t="str">
        <f ca="1">+H26</f>
        <v>P1</v>
      </c>
      <c r="I34" s="4" t="str">
        <f t="shared" ref="I34:K34" ca="1" si="15">+I26</f>
        <v>Urbana</v>
      </c>
      <c r="J34" s="4" t="str">
        <f t="shared" ca="1" si="15"/>
        <v>Sub Ur</v>
      </c>
      <c r="K34" s="4" t="str">
        <f t="shared" ca="1" si="15"/>
        <v>Rural</v>
      </c>
      <c r="M34" s="53" t="s">
        <v>332</v>
      </c>
      <c r="N34" s="4" t="str">
        <f ca="1">+N26</f>
        <v>Urbana</v>
      </c>
      <c r="O34" s="4" t="str">
        <f ca="1">+O26</f>
        <v>Sub Ur</v>
      </c>
      <c r="P34" s="4" t="str">
        <f ca="1">+P26</f>
        <v>Rural</v>
      </c>
      <c r="R34" s="54" t="s">
        <v>137</v>
      </c>
      <c r="S34" s="55"/>
    </row>
    <row r="35" spans="2:19">
      <c r="C35" s="4"/>
      <c r="D35" s="51">
        <v>0.4</v>
      </c>
      <c r="E35" s="51">
        <v>0.35</v>
      </c>
      <c r="F35" s="51">
        <v>0.25</v>
      </c>
      <c r="H35" s="4" t="str">
        <f t="shared" ref="H35:K37" ca="1" si="16">+H27</f>
        <v>Urbana</v>
      </c>
      <c r="I35" s="4">
        <f t="shared" ca="1" si="16"/>
        <v>0.79999999999999993</v>
      </c>
      <c r="J35" s="4">
        <f t="shared" ca="1" si="16"/>
        <v>0.15</v>
      </c>
      <c r="K35" s="4">
        <f t="shared" ca="1" si="16"/>
        <v>0.05</v>
      </c>
      <c r="M35" s="4" t="str">
        <f ca="1">+M27</f>
        <v>Urbana</v>
      </c>
      <c r="N35" s="56">
        <f t="shared" ref="N35:P37" ca="1" si="17">+$D35*I$35+$E35*I$36+$F35*I$37</f>
        <v>0.35100000000000003</v>
      </c>
      <c r="O35" s="56">
        <f t="shared" ca="1" si="17"/>
        <v>0.38999999999999996</v>
      </c>
      <c r="P35" s="56">
        <f t="shared" ca="1" si="17"/>
        <v>0.25900000000000001</v>
      </c>
      <c r="R35" s="57" t="str">
        <f ca="1">+M35</f>
        <v>Urbana</v>
      </c>
      <c r="S35" s="58">
        <f ca="1">+N35</f>
        <v>0.35100000000000003</v>
      </c>
    </row>
    <row r="36" spans="2:19">
      <c r="C36" s="4"/>
      <c r="D36" s="51"/>
      <c r="E36" s="51"/>
      <c r="F36" s="51"/>
      <c r="G36" s="4" t="s">
        <v>135</v>
      </c>
      <c r="H36" s="4" t="str">
        <f t="shared" ca="1" si="16"/>
        <v>Sub Ur</v>
      </c>
      <c r="I36" s="4">
        <f t="shared" ca="1" si="16"/>
        <v>0.06</v>
      </c>
      <c r="J36" s="4">
        <f t="shared" ca="1" si="16"/>
        <v>0.89999999999999991</v>
      </c>
      <c r="K36" s="4">
        <f t="shared" ca="1" si="16"/>
        <v>0.04</v>
      </c>
      <c r="L36" s="4" t="s">
        <v>6</v>
      </c>
      <c r="M36" s="4" t="str">
        <f ca="1">+M28</f>
        <v>Sub Ur</v>
      </c>
      <c r="N36" s="51">
        <f t="shared" ca="1" si="17"/>
        <v>0</v>
      </c>
      <c r="O36" s="51">
        <f t="shared" ca="1" si="17"/>
        <v>0</v>
      </c>
      <c r="P36" s="51">
        <f t="shared" ca="1" si="17"/>
        <v>0</v>
      </c>
      <c r="R36" s="57" t="str">
        <f t="shared" ref="R36:R37" ca="1" si="18">+M36</f>
        <v>Sub Ur</v>
      </c>
      <c r="S36" s="58">
        <f ca="1">+O35</f>
        <v>0.38999999999999996</v>
      </c>
    </row>
    <row r="37" spans="2:19" ht="15.75" thickBot="1">
      <c r="C37" s="4"/>
      <c r="D37" s="51"/>
      <c r="E37" s="51"/>
      <c r="F37" s="51"/>
      <c r="H37" s="4" t="str">
        <f t="shared" ca="1" si="16"/>
        <v>Rural</v>
      </c>
      <c r="I37" s="4">
        <f t="shared" ca="1" si="16"/>
        <v>0.04</v>
      </c>
      <c r="J37" s="4">
        <f t="shared" ca="1" si="16"/>
        <v>0.06</v>
      </c>
      <c r="K37" s="4">
        <f t="shared" ca="1" si="16"/>
        <v>0.89999999999999991</v>
      </c>
      <c r="M37" s="4" t="str">
        <f ca="1">+M29</f>
        <v>Rural</v>
      </c>
      <c r="N37" s="51">
        <f t="shared" ca="1" si="17"/>
        <v>0</v>
      </c>
      <c r="O37" s="51">
        <f t="shared" ca="1" si="17"/>
        <v>0</v>
      </c>
      <c r="P37" s="51">
        <f t="shared" ca="1" si="17"/>
        <v>0</v>
      </c>
      <c r="R37" s="59" t="str">
        <f t="shared" ca="1" si="18"/>
        <v>Rural</v>
      </c>
      <c r="S37" s="60">
        <f ca="1">+P35</f>
        <v>0.25900000000000001</v>
      </c>
    </row>
    <row r="39" spans="2:19">
      <c r="B39" s="14" t="s">
        <v>28</v>
      </c>
      <c r="C39" s="14" t="s">
        <v>140</v>
      </c>
    </row>
    <row r="41" spans="2:19">
      <c r="C41" s="53" t="s">
        <v>133</v>
      </c>
      <c r="D41" s="4" t="s">
        <v>128</v>
      </c>
      <c r="E41" s="4" t="s">
        <v>129</v>
      </c>
      <c r="F41" s="4" t="s">
        <v>130</v>
      </c>
      <c r="H41" s="53" t="s">
        <v>133</v>
      </c>
      <c r="I41" s="4" t="s">
        <v>128</v>
      </c>
      <c r="J41" s="4" t="s">
        <v>129</v>
      </c>
      <c r="K41" s="4" t="s">
        <v>130</v>
      </c>
      <c r="M41" s="53" t="s">
        <v>134</v>
      </c>
      <c r="N41" s="4" t="s">
        <v>128</v>
      </c>
      <c r="O41" s="4" t="s">
        <v>129</v>
      </c>
      <c r="P41" s="4" t="s">
        <v>130</v>
      </c>
    </row>
    <row r="42" spans="2:19">
      <c r="C42" s="4" t="s">
        <v>128</v>
      </c>
      <c r="D42" s="51">
        <f ca="1">+D22</f>
        <v>1</v>
      </c>
      <c r="E42" s="51">
        <f t="shared" ref="E42:F42" ca="1" si="19">+E22</f>
        <v>0</v>
      </c>
      <c r="F42" s="51">
        <f t="shared" ca="1" si="19"/>
        <v>0</v>
      </c>
      <c r="H42" s="4" t="s">
        <v>128</v>
      </c>
      <c r="I42" s="4">
        <f ca="1">+$D$14</f>
        <v>0.79999999999999993</v>
      </c>
      <c r="J42" s="4">
        <f ca="1">+$E$14</f>
        <v>0.15</v>
      </c>
      <c r="K42" s="4">
        <f ca="1">+$F$14</f>
        <v>0.05</v>
      </c>
      <c r="M42" s="4" t="s">
        <v>128</v>
      </c>
      <c r="N42" s="65">
        <f t="shared" ref="N42:P44" ca="1" si="20">+$D42*I$42+$E42*I$43+$F42*I$44</f>
        <v>0.79999999999999993</v>
      </c>
      <c r="O42" s="51">
        <f t="shared" ca="1" si="20"/>
        <v>0.15</v>
      </c>
      <c r="P42" s="51">
        <f t="shared" ca="1" si="20"/>
        <v>0.05</v>
      </c>
    </row>
    <row r="43" spans="2:19">
      <c r="C43" s="4" t="s">
        <v>129</v>
      </c>
      <c r="D43" s="51">
        <f t="shared" ref="D43:F44" ca="1" si="21">+D23</f>
        <v>0</v>
      </c>
      <c r="E43" s="51">
        <f t="shared" ca="1" si="21"/>
        <v>0</v>
      </c>
      <c r="F43" s="51">
        <f t="shared" ca="1" si="21"/>
        <v>0</v>
      </c>
      <c r="G43" s="4" t="s">
        <v>135</v>
      </c>
      <c r="H43" s="4" t="s">
        <v>129</v>
      </c>
      <c r="I43" s="4">
        <f ca="1">+$D$15</f>
        <v>0.06</v>
      </c>
      <c r="J43" s="4">
        <f ca="1">+$E$15</f>
        <v>0.89999999999999991</v>
      </c>
      <c r="K43" s="4">
        <f ca="1">+$F$15</f>
        <v>0.04</v>
      </c>
      <c r="L43" s="4" t="s">
        <v>6</v>
      </c>
      <c r="M43" s="4" t="s">
        <v>129</v>
      </c>
      <c r="N43" s="51">
        <f t="shared" ca="1" si="20"/>
        <v>0</v>
      </c>
      <c r="O43" s="65">
        <f t="shared" ca="1" si="20"/>
        <v>0</v>
      </c>
      <c r="P43" s="51">
        <f t="shared" ca="1" si="20"/>
        <v>0</v>
      </c>
    </row>
    <row r="44" spans="2:19">
      <c r="C44" s="4" t="s">
        <v>130</v>
      </c>
      <c r="D44" s="51">
        <f t="shared" ca="1" si="21"/>
        <v>0</v>
      </c>
      <c r="E44" s="51">
        <f t="shared" ca="1" si="21"/>
        <v>0</v>
      </c>
      <c r="F44" s="51">
        <f t="shared" ca="1" si="21"/>
        <v>0</v>
      </c>
      <c r="H44" s="4" t="s">
        <v>130</v>
      </c>
      <c r="I44" s="4">
        <f ca="1">+$D$16</f>
        <v>0.04</v>
      </c>
      <c r="J44" s="4">
        <f ca="1">+$E$16</f>
        <v>0.06</v>
      </c>
      <c r="K44" s="4">
        <f ca="1">+$F$16</f>
        <v>0.89999999999999991</v>
      </c>
      <c r="M44" s="4" t="s">
        <v>130</v>
      </c>
      <c r="N44" s="51">
        <f t="shared" ca="1" si="20"/>
        <v>0</v>
      </c>
      <c r="O44" s="51">
        <f t="shared" ca="1" si="20"/>
        <v>0</v>
      </c>
      <c r="P44" s="65">
        <f t="shared" ca="1" si="20"/>
        <v>0</v>
      </c>
    </row>
    <row r="46" spans="2:19">
      <c r="C46" s="53" t="str">
        <f ca="1">+M41</f>
        <v>P2</v>
      </c>
      <c r="D46" s="4" t="s">
        <v>128</v>
      </c>
      <c r="E46" s="4" t="s">
        <v>129</v>
      </c>
      <c r="F46" s="4" t="s">
        <v>130</v>
      </c>
      <c r="H46" s="53" t="s">
        <v>133</v>
      </c>
      <c r="I46" s="4" t="s">
        <v>128</v>
      </c>
      <c r="J46" s="4" t="s">
        <v>129</v>
      </c>
      <c r="K46" s="4" t="s">
        <v>130</v>
      </c>
      <c r="M46" s="53" t="s">
        <v>141</v>
      </c>
      <c r="N46" s="4" t="s">
        <v>128</v>
      </c>
      <c r="O46" s="4" t="s">
        <v>129</v>
      </c>
      <c r="P46" s="4" t="s">
        <v>130</v>
      </c>
    </row>
    <row r="47" spans="2:19">
      <c r="C47" s="4" t="s">
        <v>128</v>
      </c>
      <c r="D47" s="51">
        <f ca="1">+N42</f>
        <v>0.79999999999999993</v>
      </c>
      <c r="E47" s="51">
        <f t="shared" ref="E47:F47" ca="1" si="22">+O42</f>
        <v>0.15</v>
      </c>
      <c r="F47" s="51">
        <f t="shared" ca="1" si="22"/>
        <v>0.05</v>
      </c>
      <c r="H47" s="4" t="s">
        <v>128</v>
      </c>
      <c r="I47" s="4">
        <f ca="1">+$D$14</f>
        <v>0.79999999999999993</v>
      </c>
      <c r="J47" s="4">
        <f ca="1">+$E$14</f>
        <v>0.15</v>
      </c>
      <c r="K47" s="4">
        <f ca="1">+$F$14</f>
        <v>0.05</v>
      </c>
      <c r="M47" s="4" t="s">
        <v>128</v>
      </c>
      <c r="N47" s="51">
        <f ca="1">+$D47*I$42+$E47*I$43+$F47*I$44</f>
        <v>0.65099999999999991</v>
      </c>
      <c r="O47" s="51">
        <f t="shared" ref="O47:P49" ca="1" si="23">+$D47*J$42+$E47*J$43+$F47*J$44</f>
        <v>0.25799999999999995</v>
      </c>
      <c r="P47" s="51">
        <f t="shared" ca="1" si="23"/>
        <v>9.0999999999999998E-2</v>
      </c>
    </row>
    <row r="48" spans="2:19">
      <c r="C48" s="4" t="s">
        <v>129</v>
      </c>
      <c r="D48" s="51">
        <f t="shared" ref="D48:F49" ca="1" si="24">+N43</f>
        <v>0</v>
      </c>
      <c r="E48" s="51">
        <f t="shared" ca="1" si="24"/>
        <v>0</v>
      </c>
      <c r="F48" s="51">
        <f t="shared" ca="1" si="24"/>
        <v>0</v>
      </c>
      <c r="G48" s="4" t="s">
        <v>135</v>
      </c>
      <c r="H48" s="4" t="s">
        <v>129</v>
      </c>
      <c r="I48" s="4">
        <f ca="1">+$D$15</f>
        <v>0.06</v>
      </c>
      <c r="J48" s="4">
        <f ca="1">+$E$15</f>
        <v>0.89999999999999991</v>
      </c>
      <c r="K48" s="4">
        <f ca="1">+$F$15</f>
        <v>0.04</v>
      </c>
      <c r="L48" s="4" t="s">
        <v>6</v>
      </c>
      <c r="M48" s="4" t="s">
        <v>129</v>
      </c>
      <c r="N48" s="51">
        <f t="shared" ref="N48:N49" ca="1" si="25">+$D48*I$42+$E48*I$43+$F48*I$44</f>
        <v>0</v>
      </c>
      <c r="O48" s="51">
        <f t="shared" ca="1" si="23"/>
        <v>0</v>
      </c>
      <c r="P48" s="51">
        <f t="shared" ca="1" si="23"/>
        <v>0</v>
      </c>
    </row>
    <row r="49" spans="3:16">
      <c r="C49" s="4" t="s">
        <v>130</v>
      </c>
      <c r="D49" s="51">
        <f t="shared" ca="1" si="24"/>
        <v>0</v>
      </c>
      <c r="E49" s="51">
        <f t="shared" ca="1" si="24"/>
        <v>0</v>
      </c>
      <c r="F49" s="51">
        <f t="shared" ca="1" si="24"/>
        <v>0</v>
      </c>
      <c r="H49" s="4" t="s">
        <v>130</v>
      </c>
      <c r="I49" s="4">
        <f ca="1">+$D$16</f>
        <v>0.04</v>
      </c>
      <c r="J49" s="4">
        <f ca="1">+$E$16</f>
        <v>0.06</v>
      </c>
      <c r="K49" s="4">
        <f ca="1">+$F$16</f>
        <v>0.89999999999999991</v>
      </c>
      <c r="M49" s="4" t="s">
        <v>130</v>
      </c>
      <c r="N49" s="51">
        <f t="shared" ca="1" si="25"/>
        <v>0</v>
      </c>
      <c r="O49" s="51">
        <f t="shared" ca="1" si="23"/>
        <v>0</v>
      </c>
      <c r="P49" s="51">
        <f t="shared" ca="1" si="23"/>
        <v>0</v>
      </c>
    </row>
    <row r="51" spans="3:16">
      <c r="C51" s="53" t="str">
        <f ca="1">+M46</f>
        <v>P3</v>
      </c>
      <c r="D51" s="4" t="s">
        <v>128</v>
      </c>
      <c r="E51" s="4" t="s">
        <v>129</v>
      </c>
      <c r="F51" s="4" t="s">
        <v>130</v>
      </c>
      <c r="H51" s="53" t="s">
        <v>133</v>
      </c>
      <c r="I51" s="4" t="s">
        <v>128</v>
      </c>
      <c r="J51" s="4" t="s">
        <v>129</v>
      </c>
      <c r="K51" s="4" t="s">
        <v>130</v>
      </c>
      <c r="M51" s="53" t="s">
        <v>142</v>
      </c>
      <c r="N51" s="4" t="s">
        <v>128</v>
      </c>
      <c r="O51" s="4" t="s">
        <v>129</v>
      </c>
      <c r="P51" s="4" t="s">
        <v>130</v>
      </c>
    </row>
    <row r="52" spans="3:16">
      <c r="C52" s="4" t="s">
        <v>128</v>
      </c>
      <c r="D52" s="51">
        <f ca="1">+N47</f>
        <v>0.65099999999999991</v>
      </c>
      <c r="E52" s="51">
        <f t="shared" ref="E52:F54" ca="1" si="26">+O47</f>
        <v>0.25799999999999995</v>
      </c>
      <c r="F52" s="51">
        <f t="shared" ca="1" si="26"/>
        <v>9.0999999999999998E-2</v>
      </c>
      <c r="H52" s="4" t="s">
        <v>128</v>
      </c>
      <c r="I52" s="4">
        <f ca="1">+$D$14</f>
        <v>0.79999999999999993</v>
      </c>
      <c r="J52" s="4">
        <f ca="1">+$E$14</f>
        <v>0.15</v>
      </c>
      <c r="K52" s="4">
        <f ca="1">+$F$14</f>
        <v>0.05</v>
      </c>
      <c r="M52" s="4" t="s">
        <v>128</v>
      </c>
      <c r="N52" s="51">
        <f ca="1">+$D52*I$42+$E52*I$43+$F52*I$44</f>
        <v>0.53991999999999996</v>
      </c>
      <c r="O52" s="51">
        <f t="shared" ref="O52:P54" ca="1" si="27">+$D52*J$42+$E52*J$43+$F52*J$44</f>
        <v>0.33530999999999994</v>
      </c>
      <c r="P52" s="51">
        <f t="shared" ca="1" si="27"/>
        <v>0.12476999999999998</v>
      </c>
    </row>
    <row r="53" spans="3:16">
      <c r="C53" s="4" t="s">
        <v>129</v>
      </c>
      <c r="D53" s="51">
        <f t="shared" ref="D53:D54" ca="1" si="28">+N48</f>
        <v>0</v>
      </c>
      <c r="E53" s="51">
        <f t="shared" ca="1" si="26"/>
        <v>0</v>
      </c>
      <c r="F53" s="51">
        <f t="shared" ca="1" si="26"/>
        <v>0</v>
      </c>
      <c r="G53" s="4" t="s">
        <v>135</v>
      </c>
      <c r="H53" s="4" t="s">
        <v>129</v>
      </c>
      <c r="I53" s="4">
        <f ca="1">+$D$15</f>
        <v>0.06</v>
      </c>
      <c r="J53" s="4">
        <f ca="1">+$E$15</f>
        <v>0.89999999999999991</v>
      </c>
      <c r="K53" s="4">
        <f ca="1">+$F$15</f>
        <v>0.04</v>
      </c>
      <c r="L53" s="4" t="s">
        <v>6</v>
      </c>
      <c r="M53" s="4" t="s">
        <v>129</v>
      </c>
      <c r="N53" s="51">
        <f t="shared" ref="N53:N54" ca="1" si="29">+$D53*I$42+$E53*I$43+$F53*I$44</f>
        <v>0</v>
      </c>
      <c r="O53" s="51">
        <f t="shared" ca="1" si="27"/>
        <v>0</v>
      </c>
      <c r="P53" s="51">
        <f t="shared" ca="1" si="27"/>
        <v>0</v>
      </c>
    </row>
    <row r="54" spans="3:16">
      <c r="C54" s="4" t="s">
        <v>130</v>
      </c>
      <c r="D54" s="51">
        <f t="shared" ca="1" si="28"/>
        <v>0</v>
      </c>
      <c r="E54" s="51">
        <f t="shared" ca="1" si="26"/>
        <v>0</v>
      </c>
      <c r="F54" s="51">
        <f t="shared" ca="1" si="26"/>
        <v>0</v>
      </c>
      <c r="H54" s="4" t="s">
        <v>130</v>
      </c>
      <c r="I54" s="4">
        <f ca="1">+$D$16</f>
        <v>0.04</v>
      </c>
      <c r="J54" s="4">
        <f ca="1">+$E$16</f>
        <v>0.06</v>
      </c>
      <c r="K54" s="4">
        <f ca="1">+$F$16</f>
        <v>0.89999999999999991</v>
      </c>
      <c r="M54" s="4" t="s">
        <v>130</v>
      </c>
      <c r="N54" s="51">
        <f t="shared" ca="1" si="29"/>
        <v>0</v>
      </c>
      <c r="O54" s="51">
        <f t="shared" ca="1" si="27"/>
        <v>0</v>
      </c>
      <c r="P54" s="51">
        <f t="shared" ca="1" si="27"/>
        <v>0</v>
      </c>
    </row>
    <row r="56" spans="3:16">
      <c r="C56" s="53" t="str">
        <f ca="1">+M51</f>
        <v>P4</v>
      </c>
      <c r="D56" s="4" t="s">
        <v>128</v>
      </c>
      <c r="E56" s="4" t="s">
        <v>129</v>
      </c>
      <c r="F56" s="4" t="s">
        <v>130</v>
      </c>
      <c r="H56" s="53" t="s">
        <v>133</v>
      </c>
      <c r="I56" s="4" t="s">
        <v>128</v>
      </c>
      <c r="J56" s="4" t="s">
        <v>129</v>
      </c>
      <c r="K56" s="4" t="s">
        <v>130</v>
      </c>
      <c r="M56" s="53" t="s">
        <v>143</v>
      </c>
      <c r="N56" s="4" t="s">
        <v>128</v>
      </c>
      <c r="O56" s="4" t="s">
        <v>129</v>
      </c>
      <c r="P56" s="4" t="s">
        <v>130</v>
      </c>
    </row>
    <row r="57" spans="3:16">
      <c r="C57" s="4" t="s">
        <v>128</v>
      </c>
      <c r="D57" s="51">
        <f ca="1">+N52</f>
        <v>0.53991999999999996</v>
      </c>
      <c r="E57" s="51">
        <f t="shared" ref="E57:F59" ca="1" si="30">+O52</f>
        <v>0.33530999999999994</v>
      </c>
      <c r="F57" s="51">
        <f t="shared" ca="1" si="30"/>
        <v>0.12476999999999998</v>
      </c>
      <c r="H57" s="4" t="s">
        <v>128</v>
      </c>
      <c r="I57" s="4">
        <f ca="1">+$D$14</f>
        <v>0.79999999999999993</v>
      </c>
      <c r="J57" s="4">
        <f ca="1">+$E$14</f>
        <v>0.15</v>
      </c>
      <c r="K57" s="4">
        <f ca="1">+$F$14</f>
        <v>0.05</v>
      </c>
      <c r="M57" s="4" t="s">
        <v>128</v>
      </c>
      <c r="N57" s="51">
        <f ca="1">+$D57*I$42+$E57*I$43+$F57*I$44</f>
        <v>0.45704539999999994</v>
      </c>
      <c r="O57" s="51">
        <f t="shared" ref="O57:P59" ca="1" si="31">+$D57*J$42+$E57*J$43+$F57*J$44</f>
        <v>0.39025319999999991</v>
      </c>
      <c r="P57" s="51">
        <f t="shared" ca="1" si="31"/>
        <v>0.15270139999999999</v>
      </c>
    </row>
    <row r="58" spans="3:16">
      <c r="C58" s="4" t="s">
        <v>129</v>
      </c>
      <c r="D58" s="51">
        <f t="shared" ref="D58:D59" ca="1" si="32">+N53</f>
        <v>0</v>
      </c>
      <c r="E58" s="51">
        <f t="shared" ca="1" si="30"/>
        <v>0</v>
      </c>
      <c r="F58" s="51">
        <f t="shared" ca="1" si="30"/>
        <v>0</v>
      </c>
      <c r="G58" s="4" t="s">
        <v>135</v>
      </c>
      <c r="H58" s="4" t="s">
        <v>129</v>
      </c>
      <c r="I58" s="4">
        <f ca="1">+$D$15</f>
        <v>0.06</v>
      </c>
      <c r="J58" s="4">
        <f ca="1">+$E$15</f>
        <v>0.89999999999999991</v>
      </c>
      <c r="K58" s="4">
        <f ca="1">+$F$15</f>
        <v>0.04</v>
      </c>
      <c r="L58" s="4" t="s">
        <v>6</v>
      </c>
      <c r="M58" s="4" t="s">
        <v>129</v>
      </c>
      <c r="N58" s="51">
        <f t="shared" ref="N58:N59" ca="1" si="33">+$D58*I$42+$E58*I$43+$F58*I$44</f>
        <v>0</v>
      </c>
      <c r="O58" s="51">
        <f t="shared" ca="1" si="31"/>
        <v>0</v>
      </c>
      <c r="P58" s="51">
        <f t="shared" ca="1" si="31"/>
        <v>0</v>
      </c>
    </row>
    <row r="59" spans="3:16">
      <c r="C59" s="4" t="s">
        <v>130</v>
      </c>
      <c r="D59" s="51">
        <f t="shared" ca="1" si="32"/>
        <v>0</v>
      </c>
      <c r="E59" s="51">
        <f t="shared" ca="1" si="30"/>
        <v>0</v>
      </c>
      <c r="F59" s="51">
        <f t="shared" ca="1" si="30"/>
        <v>0</v>
      </c>
      <c r="H59" s="4" t="s">
        <v>130</v>
      </c>
      <c r="I59" s="4">
        <f ca="1">+$D$16</f>
        <v>0.04</v>
      </c>
      <c r="J59" s="4">
        <f ca="1">+$E$16</f>
        <v>0.06</v>
      </c>
      <c r="K59" s="4">
        <f ca="1">+$F$16</f>
        <v>0.89999999999999991</v>
      </c>
      <c r="M59" s="4" t="s">
        <v>130</v>
      </c>
      <c r="N59" s="51">
        <f t="shared" ca="1" si="33"/>
        <v>0</v>
      </c>
      <c r="O59" s="51">
        <f t="shared" ca="1" si="31"/>
        <v>0</v>
      </c>
      <c r="P59" s="51">
        <f t="shared" ca="1" si="31"/>
        <v>0</v>
      </c>
    </row>
    <row r="61" spans="3:16">
      <c r="C61" s="53" t="str">
        <f ca="1">+M56</f>
        <v>P5</v>
      </c>
      <c r="D61" s="4" t="s">
        <v>128</v>
      </c>
      <c r="E61" s="4" t="s">
        <v>129</v>
      </c>
      <c r="F61" s="4" t="s">
        <v>130</v>
      </c>
      <c r="H61" s="53" t="s">
        <v>133</v>
      </c>
      <c r="I61" s="4" t="s">
        <v>128</v>
      </c>
      <c r="J61" s="4" t="s">
        <v>129</v>
      </c>
      <c r="K61" s="4" t="s">
        <v>130</v>
      </c>
      <c r="M61" s="53" t="s">
        <v>144</v>
      </c>
      <c r="N61" s="4" t="s">
        <v>128</v>
      </c>
      <c r="O61" s="4" t="s">
        <v>129</v>
      </c>
      <c r="P61" s="4" t="s">
        <v>130</v>
      </c>
    </row>
    <row r="62" spans="3:16">
      <c r="C62" s="4" t="s">
        <v>128</v>
      </c>
      <c r="D62" s="51">
        <f ca="1">+N57</f>
        <v>0.45704539999999994</v>
      </c>
      <c r="E62" s="51">
        <f t="shared" ref="E62:F64" ca="1" si="34">+O57</f>
        <v>0.39025319999999991</v>
      </c>
      <c r="F62" s="51">
        <f t="shared" ca="1" si="34"/>
        <v>0.15270139999999999</v>
      </c>
      <c r="H62" s="4" t="s">
        <v>128</v>
      </c>
      <c r="I62" s="4">
        <f ca="1">+$D$14</f>
        <v>0.79999999999999993</v>
      </c>
      <c r="J62" s="4">
        <f ca="1">+$E$14</f>
        <v>0.15</v>
      </c>
      <c r="K62" s="4">
        <f ca="1">+$F$14</f>
        <v>0.05</v>
      </c>
      <c r="M62" s="4" t="s">
        <v>128</v>
      </c>
      <c r="N62" s="51">
        <f ca="1">+$D62*I$42+$E62*I$43+$F62*I$44</f>
        <v>0.39515956799999985</v>
      </c>
      <c r="O62" s="51">
        <f t="shared" ref="O62:P64" ca="1" si="35">+$D62*J$42+$E62*J$43+$F62*J$44</f>
        <v>0.42894677399999986</v>
      </c>
      <c r="P62" s="51">
        <f t="shared" ca="1" si="35"/>
        <v>0.17589365799999995</v>
      </c>
    </row>
    <row r="63" spans="3:16">
      <c r="C63" s="4" t="s">
        <v>129</v>
      </c>
      <c r="D63" s="51">
        <f t="shared" ref="D63:D64" ca="1" si="36">+N58</f>
        <v>0</v>
      </c>
      <c r="E63" s="51">
        <f t="shared" ca="1" si="34"/>
        <v>0</v>
      </c>
      <c r="F63" s="51">
        <f t="shared" ca="1" si="34"/>
        <v>0</v>
      </c>
      <c r="G63" s="4" t="s">
        <v>135</v>
      </c>
      <c r="H63" s="4" t="s">
        <v>129</v>
      </c>
      <c r="I63" s="4">
        <f ca="1">+$D$15</f>
        <v>0.06</v>
      </c>
      <c r="J63" s="4">
        <f ca="1">+$E$15</f>
        <v>0.89999999999999991</v>
      </c>
      <c r="K63" s="4">
        <f ca="1">+$F$15</f>
        <v>0.04</v>
      </c>
      <c r="L63" s="4" t="s">
        <v>6</v>
      </c>
      <c r="M63" s="4" t="s">
        <v>129</v>
      </c>
      <c r="N63" s="51">
        <f t="shared" ref="N63:N64" ca="1" si="37">+$D63*I$42+$E63*I$43+$F63*I$44</f>
        <v>0</v>
      </c>
      <c r="O63" s="51">
        <f t="shared" ca="1" si="35"/>
        <v>0</v>
      </c>
      <c r="P63" s="51">
        <f t="shared" ca="1" si="35"/>
        <v>0</v>
      </c>
    </row>
    <row r="64" spans="3:16">
      <c r="C64" s="4" t="s">
        <v>130</v>
      </c>
      <c r="D64" s="51">
        <f t="shared" ca="1" si="36"/>
        <v>0</v>
      </c>
      <c r="E64" s="51">
        <f t="shared" ca="1" si="34"/>
        <v>0</v>
      </c>
      <c r="F64" s="51">
        <f t="shared" ca="1" si="34"/>
        <v>0</v>
      </c>
      <c r="H64" s="4" t="s">
        <v>130</v>
      </c>
      <c r="I64" s="4">
        <f ca="1">+$D$16</f>
        <v>0.04</v>
      </c>
      <c r="J64" s="4">
        <f ca="1">+$E$16</f>
        <v>0.06</v>
      </c>
      <c r="K64" s="4">
        <f ca="1">+$F$16</f>
        <v>0.89999999999999991</v>
      </c>
      <c r="M64" s="4" t="s">
        <v>130</v>
      </c>
      <c r="N64" s="51">
        <f t="shared" ca="1" si="37"/>
        <v>0</v>
      </c>
      <c r="O64" s="51">
        <f t="shared" ca="1" si="35"/>
        <v>0</v>
      </c>
      <c r="P64" s="51">
        <f t="shared" ca="1" si="35"/>
        <v>0</v>
      </c>
    </row>
    <row r="66" spans="3:16">
      <c r="C66" s="53" t="str">
        <f ca="1">+M61</f>
        <v>P6</v>
      </c>
      <c r="D66" s="4" t="s">
        <v>128</v>
      </c>
      <c r="E66" s="4" t="s">
        <v>129</v>
      </c>
      <c r="F66" s="4" t="s">
        <v>130</v>
      </c>
      <c r="H66" s="53" t="s">
        <v>133</v>
      </c>
      <c r="I66" s="4" t="s">
        <v>128</v>
      </c>
      <c r="J66" s="4" t="s">
        <v>129</v>
      </c>
      <c r="K66" s="4" t="s">
        <v>130</v>
      </c>
      <c r="M66" s="53" t="s">
        <v>145</v>
      </c>
      <c r="N66" s="4" t="s">
        <v>128</v>
      </c>
      <c r="O66" s="4" t="s">
        <v>129</v>
      </c>
      <c r="P66" s="4" t="s">
        <v>130</v>
      </c>
    </row>
    <row r="67" spans="3:16">
      <c r="C67" s="4" t="s">
        <v>128</v>
      </c>
      <c r="D67" s="51">
        <f ca="1">+N62</f>
        <v>0.39515956799999985</v>
      </c>
      <c r="E67" s="51">
        <f t="shared" ref="E67:F69" ca="1" si="38">+O62</f>
        <v>0.42894677399999986</v>
      </c>
      <c r="F67" s="51">
        <f t="shared" ca="1" si="38"/>
        <v>0.17589365799999995</v>
      </c>
      <c r="H67" s="4" t="s">
        <v>128</v>
      </c>
      <c r="I67" s="4">
        <f ca="1">+$D$14</f>
        <v>0.79999999999999993</v>
      </c>
      <c r="J67" s="4">
        <f ca="1">+$E$14</f>
        <v>0.15</v>
      </c>
      <c r="K67" s="4">
        <f ca="1">+$F$14</f>
        <v>0.05</v>
      </c>
      <c r="M67" s="4" t="s">
        <v>128</v>
      </c>
      <c r="N67" s="51">
        <f ca="1">+$D67*I$42+$E67*I$43+$F67*I$44</f>
        <v>0.34890020715999981</v>
      </c>
      <c r="O67" s="51">
        <f t="shared" ref="O67:P69" ca="1" si="39">+$D67*J$42+$E67*J$43+$F67*J$44</f>
        <v>0.4558796512799998</v>
      </c>
      <c r="P67" s="51">
        <f t="shared" ca="1" si="39"/>
        <v>0.19522014155999995</v>
      </c>
    </row>
    <row r="68" spans="3:16">
      <c r="C68" s="4" t="s">
        <v>129</v>
      </c>
      <c r="D68" s="51">
        <f t="shared" ref="D68:D69" ca="1" si="40">+N63</f>
        <v>0</v>
      </c>
      <c r="E68" s="51">
        <f t="shared" ca="1" si="38"/>
        <v>0</v>
      </c>
      <c r="F68" s="51">
        <f t="shared" ca="1" si="38"/>
        <v>0</v>
      </c>
      <c r="G68" s="4" t="s">
        <v>135</v>
      </c>
      <c r="H68" s="4" t="s">
        <v>129</v>
      </c>
      <c r="I68" s="4">
        <f ca="1">+$D$15</f>
        <v>0.06</v>
      </c>
      <c r="J68" s="4">
        <f ca="1">+$E$15</f>
        <v>0.89999999999999991</v>
      </c>
      <c r="K68" s="4">
        <f ca="1">+$F$15</f>
        <v>0.04</v>
      </c>
      <c r="L68" s="4" t="s">
        <v>6</v>
      </c>
      <c r="M68" s="4" t="s">
        <v>129</v>
      </c>
      <c r="N68" s="51">
        <f t="shared" ref="N68:N69" ca="1" si="41">+$D68*I$42+$E68*I$43+$F68*I$44</f>
        <v>0</v>
      </c>
      <c r="O68" s="51">
        <f t="shared" ca="1" si="39"/>
        <v>0</v>
      </c>
      <c r="P68" s="51">
        <f t="shared" ca="1" si="39"/>
        <v>0</v>
      </c>
    </row>
    <row r="69" spans="3:16">
      <c r="C69" s="4" t="s">
        <v>130</v>
      </c>
      <c r="D69" s="51">
        <f t="shared" ca="1" si="40"/>
        <v>0</v>
      </c>
      <c r="E69" s="51">
        <f t="shared" ca="1" si="38"/>
        <v>0</v>
      </c>
      <c r="F69" s="51">
        <f t="shared" ca="1" si="38"/>
        <v>0</v>
      </c>
      <c r="H69" s="4" t="s">
        <v>130</v>
      </c>
      <c r="I69" s="4">
        <f ca="1">+$D$16</f>
        <v>0.04</v>
      </c>
      <c r="J69" s="4">
        <f ca="1">+$E$16</f>
        <v>0.06</v>
      </c>
      <c r="K69" s="4">
        <f ca="1">+$F$16</f>
        <v>0.89999999999999991</v>
      </c>
      <c r="M69" s="4" t="s">
        <v>130</v>
      </c>
      <c r="N69" s="51">
        <f t="shared" ca="1" si="41"/>
        <v>0</v>
      </c>
      <c r="O69" s="51">
        <f t="shared" ca="1" si="39"/>
        <v>0</v>
      </c>
      <c r="P69" s="51">
        <f t="shared" ca="1" si="39"/>
        <v>0</v>
      </c>
    </row>
    <row r="71" spans="3:16">
      <c r="C71" s="53" t="str">
        <f ca="1">+M66</f>
        <v>P7</v>
      </c>
      <c r="D71" s="4" t="s">
        <v>128</v>
      </c>
      <c r="E71" s="4" t="s">
        <v>129</v>
      </c>
      <c r="F71" s="4" t="s">
        <v>130</v>
      </c>
      <c r="H71" s="53" t="s">
        <v>133</v>
      </c>
      <c r="I71" s="4" t="s">
        <v>128</v>
      </c>
      <c r="J71" s="4" t="s">
        <v>129</v>
      </c>
      <c r="K71" s="4" t="s">
        <v>130</v>
      </c>
      <c r="M71" s="53" t="s">
        <v>146</v>
      </c>
      <c r="N71" s="4" t="s">
        <v>128</v>
      </c>
      <c r="O71" s="4" t="s">
        <v>129</v>
      </c>
      <c r="P71" s="4" t="s">
        <v>130</v>
      </c>
    </row>
    <row r="72" spans="3:16">
      <c r="C72" s="4" t="s">
        <v>128</v>
      </c>
      <c r="D72" s="51">
        <f ca="1">+N67</f>
        <v>0.34890020715999981</v>
      </c>
      <c r="E72" s="51">
        <f t="shared" ref="E72:F74" ca="1" si="42">+O67</f>
        <v>0.4558796512799998</v>
      </c>
      <c r="F72" s="51">
        <f t="shared" ca="1" si="42"/>
        <v>0.19522014155999995</v>
      </c>
      <c r="H72" s="4" t="s">
        <v>128</v>
      </c>
      <c r="I72" s="4">
        <f ca="1">+$D$14</f>
        <v>0.79999999999999993</v>
      </c>
      <c r="J72" s="4">
        <f ca="1">+$E$14</f>
        <v>0.15</v>
      </c>
      <c r="K72" s="4">
        <f ca="1">+$F$14</f>
        <v>0.05</v>
      </c>
      <c r="M72" s="4" t="s">
        <v>128</v>
      </c>
      <c r="N72" s="51">
        <f ca="1">+$D72*I$42+$E72*I$43+$F72*I$44</f>
        <v>0.31428175046719981</v>
      </c>
      <c r="O72" s="51">
        <f t="shared" ref="O72:P74" ca="1" si="43">+$D72*J$42+$E72*J$43+$F72*J$44</f>
        <v>0.47433992571959971</v>
      </c>
      <c r="P72" s="51">
        <f t="shared" ca="1" si="43"/>
        <v>0.2113783238131999</v>
      </c>
    </row>
    <row r="73" spans="3:16">
      <c r="C73" s="4" t="s">
        <v>129</v>
      </c>
      <c r="D73" s="51">
        <f t="shared" ref="D73:D74" ca="1" si="44">+N68</f>
        <v>0</v>
      </c>
      <c r="E73" s="51">
        <f t="shared" ca="1" si="42"/>
        <v>0</v>
      </c>
      <c r="F73" s="51">
        <f t="shared" ca="1" si="42"/>
        <v>0</v>
      </c>
      <c r="G73" s="4" t="s">
        <v>135</v>
      </c>
      <c r="H73" s="4" t="s">
        <v>129</v>
      </c>
      <c r="I73" s="4">
        <f ca="1">+$D$15</f>
        <v>0.06</v>
      </c>
      <c r="J73" s="4">
        <f ca="1">+$E$15</f>
        <v>0.89999999999999991</v>
      </c>
      <c r="K73" s="4">
        <f ca="1">+$F$15</f>
        <v>0.04</v>
      </c>
      <c r="L73" s="4" t="s">
        <v>6</v>
      </c>
      <c r="M73" s="4" t="s">
        <v>129</v>
      </c>
      <c r="N73" s="51">
        <f t="shared" ref="N73:N74" ca="1" si="45">+$D73*I$42+$E73*I$43+$F73*I$44</f>
        <v>0</v>
      </c>
      <c r="O73" s="51">
        <f t="shared" ca="1" si="43"/>
        <v>0</v>
      </c>
      <c r="P73" s="51">
        <f t="shared" ca="1" si="43"/>
        <v>0</v>
      </c>
    </row>
    <row r="74" spans="3:16">
      <c r="C74" s="4" t="s">
        <v>130</v>
      </c>
      <c r="D74" s="51">
        <f t="shared" ca="1" si="44"/>
        <v>0</v>
      </c>
      <c r="E74" s="51">
        <f t="shared" ca="1" si="42"/>
        <v>0</v>
      </c>
      <c r="F74" s="51">
        <f t="shared" ca="1" si="42"/>
        <v>0</v>
      </c>
      <c r="H74" s="4" t="s">
        <v>130</v>
      </c>
      <c r="I74" s="4">
        <f ca="1">+$D$16</f>
        <v>0.04</v>
      </c>
      <c r="J74" s="4">
        <f ca="1">+$E$16</f>
        <v>0.06</v>
      </c>
      <c r="K74" s="4">
        <f ca="1">+$F$16</f>
        <v>0.89999999999999991</v>
      </c>
      <c r="M74" s="4" t="s">
        <v>130</v>
      </c>
      <c r="N74" s="51">
        <f t="shared" ca="1" si="45"/>
        <v>0</v>
      </c>
      <c r="O74" s="51">
        <f t="shared" ca="1" si="43"/>
        <v>0</v>
      </c>
      <c r="P74" s="51">
        <f t="shared" ca="1" si="43"/>
        <v>0</v>
      </c>
    </row>
    <row r="76" spans="3:16">
      <c r="C76" s="53" t="str">
        <f ca="1">+M71</f>
        <v>P8</v>
      </c>
      <c r="D76" s="4" t="s">
        <v>128</v>
      </c>
      <c r="E76" s="4" t="s">
        <v>129</v>
      </c>
      <c r="F76" s="4" t="s">
        <v>130</v>
      </c>
      <c r="H76" s="53" t="s">
        <v>133</v>
      </c>
      <c r="I76" s="4" t="s">
        <v>128</v>
      </c>
      <c r="J76" s="4" t="s">
        <v>129</v>
      </c>
      <c r="K76" s="4" t="s">
        <v>130</v>
      </c>
      <c r="M76" s="53" t="s">
        <v>147</v>
      </c>
      <c r="N76" s="4" t="s">
        <v>128</v>
      </c>
      <c r="O76" s="4" t="s">
        <v>129</v>
      </c>
      <c r="P76" s="4" t="s">
        <v>130</v>
      </c>
    </row>
    <row r="77" spans="3:16">
      <c r="C77" s="4" t="s">
        <v>128</v>
      </c>
      <c r="D77" s="51">
        <f ca="1">+N72</f>
        <v>0.31428175046719981</v>
      </c>
      <c r="E77" s="51">
        <f t="shared" ref="E77:F79" ca="1" si="46">+O72</f>
        <v>0.47433992571959971</v>
      </c>
      <c r="F77" s="51">
        <f t="shared" ca="1" si="46"/>
        <v>0.2113783238131999</v>
      </c>
      <c r="H77" s="4" t="s">
        <v>128</v>
      </c>
      <c r="I77" s="4">
        <f ca="1">+$D$14</f>
        <v>0.79999999999999993</v>
      </c>
      <c r="J77" s="4">
        <f ca="1">+$E$14</f>
        <v>0.15</v>
      </c>
      <c r="K77" s="4">
        <f ca="1">+$F$14</f>
        <v>0.05</v>
      </c>
      <c r="M77" s="4" t="s">
        <v>128</v>
      </c>
      <c r="N77" s="51">
        <f ca="1">+$D77*I$42+$E77*I$43+$F77*I$44</f>
        <v>0.28834092886946378</v>
      </c>
      <c r="O77" s="51">
        <f t="shared" ref="O77:P79" ca="1" si="47">+$D77*J$42+$E77*J$43+$F77*J$44</f>
        <v>0.48673089514651169</v>
      </c>
      <c r="P77" s="51">
        <f t="shared" ca="1" si="47"/>
        <v>0.22492817598402387</v>
      </c>
    </row>
    <row r="78" spans="3:16">
      <c r="C78" s="4" t="s">
        <v>129</v>
      </c>
      <c r="D78" s="51">
        <f t="shared" ref="D78:D79" ca="1" si="48">+N73</f>
        <v>0</v>
      </c>
      <c r="E78" s="51">
        <f t="shared" ca="1" si="46"/>
        <v>0</v>
      </c>
      <c r="F78" s="51">
        <f t="shared" ca="1" si="46"/>
        <v>0</v>
      </c>
      <c r="G78" s="4" t="s">
        <v>135</v>
      </c>
      <c r="H78" s="4" t="s">
        <v>129</v>
      </c>
      <c r="I78" s="4">
        <f ca="1">+$D$15</f>
        <v>0.06</v>
      </c>
      <c r="J78" s="4">
        <f ca="1">+$E$15</f>
        <v>0.89999999999999991</v>
      </c>
      <c r="K78" s="4">
        <f ca="1">+$F$15</f>
        <v>0.04</v>
      </c>
      <c r="L78" s="4" t="s">
        <v>6</v>
      </c>
      <c r="M78" s="4" t="s">
        <v>129</v>
      </c>
      <c r="N78" s="51">
        <f t="shared" ref="N78:N79" ca="1" si="49">+$D78*I$42+$E78*I$43+$F78*I$44</f>
        <v>0</v>
      </c>
      <c r="O78" s="51">
        <f t="shared" ca="1" si="47"/>
        <v>0</v>
      </c>
      <c r="P78" s="51">
        <f t="shared" ca="1" si="47"/>
        <v>0</v>
      </c>
    </row>
    <row r="79" spans="3:16">
      <c r="C79" s="4" t="s">
        <v>130</v>
      </c>
      <c r="D79" s="51">
        <f t="shared" ca="1" si="48"/>
        <v>0</v>
      </c>
      <c r="E79" s="51">
        <f t="shared" ca="1" si="46"/>
        <v>0</v>
      </c>
      <c r="F79" s="51">
        <f t="shared" ca="1" si="46"/>
        <v>0</v>
      </c>
      <c r="H79" s="4" t="s">
        <v>130</v>
      </c>
      <c r="I79" s="4">
        <f ca="1">+$D$16</f>
        <v>0.04</v>
      </c>
      <c r="J79" s="4">
        <f ca="1">+$E$16</f>
        <v>0.06</v>
      </c>
      <c r="K79" s="4">
        <f ca="1">+$F$16</f>
        <v>0.89999999999999991</v>
      </c>
      <c r="M79" s="4" t="s">
        <v>130</v>
      </c>
      <c r="N79" s="51">
        <f t="shared" ca="1" si="49"/>
        <v>0</v>
      </c>
      <c r="O79" s="51">
        <f t="shared" ca="1" si="47"/>
        <v>0</v>
      </c>
      <c r="P79" s="51">
        <f t="shared" ca="1" si="47"/>
        <v>0</v>
      </c>
    </row>
    <row r="81" spans="3:18">
      <c r="C81" s="53" t="str">
        <f ca="1">+M76</f>
        <v>P9</v>
      </c>
      <c r="D81" s="4" t="s">
        <v>128</v>
      </c>
      <c r="E81" s="4" t="s">
        <v>129</v>
      </c>
      <c r="F81" s="4" t="s">
        <v>130</v>
      </c>
      <c r="H81" s="53" t="s">
        <v>133</v>
      </c>
      <c r="I81" s="4" t="s">
        <v>128</v>
      </c>
      <c r="J81" s="4" t="s">
        <v>129</v>
      </c>
      <c r="K81" s="4" t="s">
        <v>130</v>
      </c>
      <c r="M81" s="53" t="s">
        <v>148</v>
      </c>
      <c r="N81" s="4" t="s">
        <v>128</v>
      </c>
      <c r="O81" s="4" t="s">
        <v>129</v>
      </c>
      <c r="P81" s="4" t="s">
        <v>130</v>
      </c>
    </row>
    <row r="82" spans="3:18">
      <c r="C82" s="4" t="s">
        <v>128</v>
      </c>
      <c r="D82" s="51">
        <f ca="1">+N77</f>
        <v>0.28834092886946378</v>
      </c>
      <c r="E82" s="51">
        <f t="shared" ref="E82:F84" ca="1" si="50">+O77</f>
        <v>0.48673089514651169</v>
      </c>
      <c r="F82" s="51">
        <f t="shared" ca="1" si="50"/>
        <v>0.22492817598402387</v>
      </c>
      <c r="H82" s="4" t="s">
        <v>128</v>
      </c>
      <c r="I82" s="4">
        <f ca="1">+$D$14</f>
        <v>0.79999999999999993</v>
      </c>
      <c r="J82" s="4">
        <f ca="1">+$E$14</f>
        <v>0.15</v>
      </c>
      <c r="K82" s="4">
        <f ca="1">+$F$14</f>
        <v>0.05</v>
      </c>
      <c r="M82" s="4" t="s">
        <v>128</v>
      </c>
      <c r="N82" s="61">
        <f ca="1">+$D82*I$42+$E82*I$43+$F82*I$44</f>
        <v>0.26887372384372266</v>
      </c>
      <c r="O82" s="51">
        <f t="shared" ref="O82:P84" ca="1" si="51">+$D82*J$42+$E82*J$43+$F82*J$44</f>
        <v>0.49480463552132148</v>
      </c>
      <c r="P82" s="51">
        <f t="shared" ca="1" si="51"/>
        <v>0.23632164063495512</v>
      </c>
    </row>
    <row r="83" spans="3:18">
      <c r="C83" s="4" t="s">
        <v>129</v>
      </c>
      <c r="D83" s="51">
        <f t="shared" ref="D83:D84" ca="1" si="52">+N78</f>
        <v>0</v>
      </c>
      <c r="E83" s="51">
        <f t="shared" ca="1" si="50"/>
        <v>0</v>
      </c>
      <c r="F83" s="51">
        <f t="shared" ca="1" si="50"/>
        <v>0</v>
      </c>
      <c r="G83" s="4" t="s">
        <v>135</v>
      </c>
      <c r="H83" s="4" t="s">
        <v>129</v>
      </c>
      <c r="I83" s="4">
        <f ca="1">+$D$15</f>
        <v>0.06</v>
      </c>
      <c r="J83" s="4">
        <f ca="1">+$E$15</f>
        <v>0.89999999999999991</v>
      </c>
      <c r="K83" s="4">
        <f ca="1">+$F$15</f>
        <v>0.04</v>
      </c>
      <c r="L83" s="4" t="s">
        <v>6</v>
      </c>
      <c r="M83" s="4" t="s">
        <v>129</v>
      </c>
      <c r="N83" s="51">
        <f t="shared" ref="N83:N84" ca="1" si="53">+$D83*I$42+$E83*I$43+$F83*I$44</f>
        <v>0</v>
      </c>
      <c r="O83" s="61">
        <f t="shared" ca="1" si="51"/>
        <v>0</v>
      </c>
      <c r="P83" s="51">
        <f t="shared" ca="1" si="51"/>
        <v>0</v>
      </c>
    </row>
    <row r="84" spans="3:18">
      <c r="C84" s="4" t="s">
        <v>130</v>
      </c>
      <c r="D84" s="51">
        <f t="shared" ca="1" si="52"/>
        <v>0</v>
      </c>
      <c r="E84" s="51">
        <f t="shared" ca="1" si="50"/>
        <v>0</v>
      </c>
      <c r="F84" s="51">
        <f t="shared" ca="1" si="50"/>
        <v>0</v>
      </c>
      <c r="H84" s="4" t="s">
        <v>130</v>
      </c>
      <c r="I84" s="4">
        <f ca="1">+$D$16</f>
        <v>0.04</v>
      </c>
      <c r="J84" s="4">
        <f ca="1">+$E$16</f>
        <v>0.06</v>
      </c>
      <c r="K84" s="4">
        <f ca="1">+$F$16</f>
        <v>0.89999999999999991</v>
      </c>
      <c r="M84" s="4" t="s">
        <v>130</v>
      </c>
      <c r="N84" s="51">
        <f t="shared" ca="1" si="53"/>
        <v>0</v>
      </c>
      <c r="O84" s="51">
        <f t="shared" ca="1" si="51"/>
        <v>0</v>
      </c>
      <c r="P84" s="61">
        <f t="shared" ca="1" si="51"/>
        <v>0</v>
      </c>
      <c r="R84" s="9"/>
    </row>
    <row r="86" spans="3:18">
      <c r="C86" s="53" t="str">
        <f ca="1">+M81</f>
        <v>P10</v>
      </c>
      <c r="D86" s="4" t="s">
        <v>128</v>
      </c>
      <c r="E86" s="4" t="s">
        <v>129</v>
      </c>
      <c r="F86" s="4" t="s">
        <v>130</v>
      </c>
      <c r="H86" s="53" t="s">
        <v>133</v>
      </c>
      <c r="I86" s="4" t="s">
        <v>128</v>
      </c>
      <c r="J86" s="4" t="s">
        <v>129</v>
      </c>
      <c r="K86" s="4" t="s">
        <v>130</v>
      </c>
      <c r="M86" s="53" t="s">
        <v>149</v>
      </c>
      <c r="N86" s="4" t="s">
        <v>128</v>
      </c>
      <c r="O86" s="4" t="s">
        <v>129</v>
      </c>
      <c r="P86" s="4" t="s">
        <v>130</v>
      </c>
    </row>
    <row r="87" spans="3:18">
      <c r="C87" s="4" t="s">
        <v>128</v>
      </c>
      <c r="D87" s="51">
        <f ca="1">+N82</f>
        <v>0.26887372384372266</v>
      </c>
      <c r="E87" s="51">
        <f t="shared" ref="E87:F89" ca="1" si="54">+O82</f>
        <v>0.49480463552132148</v>
      </c>
      <c r="F87" s="51">
        <f t="shared" ca="1" si="54"/>
        <v>0.23632164063495512</v>
      </c>
      <c r="H87" s="4" t="s">
        <v>128</v>
      </c>
      <c r="I87" s="4">
        <f ca="1">+$D$14</f>
        <v>0.79999999999999993</v>
      </c>
      <c r="J87" s="4">
        <f ca="1">+$E$14</f>
        <v>0.15</v>
      </c>
      <c r="K87" s="4">
        <f ca="1">+$F$14</f>
        <v>0.05</v>
      </c>
      <c r="M87" s="4" t="s">
        <v>128</v>
      </c>
      <c r="N87" s="51">
        <f ca="1">+$D87*I$42+$E87*I$43+$F87*I$44</f>
        <v>0.25424012283165559</v>
      </c>
      <c r="O87" s="51">
        <f t="shared" ref="O87:P89" ca="1" si="55">+$D87*J$42+$E87*J$43+$F87*J$44</f>
        <v>0.49983452898384495</v>
      </c>
      <c r="P87" s="51">
        <f t="shared" ca="1" si="55"/>
        <v>0.24592534818449857</v>
      </c>
    </row>
    <row r="88" spans="3:18">
      <c r="C88" s="4" t="s">
        <v>129</v>
      </c>
      <c r="D88" s="51">
        <f t="shared" ref="D88:D89" ca="1" si="56">+N83</f>
        <v>0</v>
      </c>
      <c r="E88" s="51">
        <f t="shared" ca="1" si="54"/>
        <v>0</v>
      </c>
      <c r="F88" s="51">
        <f t="shared" ca="1" si="54"/>
        <v>0</v>
      </c>
      <c r="G88" s="4" t="s">
        <v>135</v>
      </c>
      <c r="H88" s="4" t="s">
        <v>129</v>
      </c>
      <c r="I88" s="4">
        <f ca="1">+$D$15</f>
        <v>0.06</v>
      </c>
      <c r="J88" s="4">
        <f ca="1">+$E$15</f>
        <v>0.89999999999999991</v>
      </c>
      <c r="K88" s="4">
        <f ca="1">+$F$15</f>
        <v>0.04</v>
      </c>
      <c r="L88" s="4" t="s">
        <v>6</v>
      </c>
      <c r="M88" s="4" t="s">
        <v>129</v>
      </c>
      <c r="N88" s="51">
        <f t="shared" ref="N88:N89" ca="1" si="57">+$D88*I$42+$E88*I$43+$F88*I$44</f>
        <v>0</v>
      </c>
      <c r="O88" s="51">
        <f t="shared" ca="1" si="55"/>
        <v>0</v>
      </c>
      <c r="P88" s="51">
        <f t="shared" ca="1" si="55"/>
        <v>0</v>
      </c>
    </row>
    <row r="89" spans="3:18">
      <c r="C89" s="4" t="s">
        <v>130</v>
      </c>
      <c r="D89" s="51">
        <f t="shared" ca="1" si="56"/>
        <v>0</v>
      </c>
      <c r="E89" s="51">
        <f t="shared" ca="1" si="54"/>
        <v>0</v>
      </c>
      <c r="F89" s="51">
        <f t="shared" ca="1" si="54"/>
        <v>0</v>
      </c>
      <c r="H89" s="4" t="s">
        <v>130</v>
      </c>
      <c r="I89" s="4">
        <f ca="1">+$D$16</f>
        <v>0.04</v>
      </c>
      <c r="J89" s="4">
        <f ca="1">+$E$16</f>
        <v>0.06</v>
      </c>
      <c r="K89" s="4">
        <f ca="1">+$F$16</f>
        <v>0.89999999999999991</v>
      </c>
      <c r="M89" s="4" t="s">
        <v>130</v>
      </c>
      <c r="N89" s="51">
        <f t="shared" ca="1" si="57"/>
        <v>0</v>
      </c>
      <c r="O89" s="51">
        <f t="shared" ca="1" si="55"/>
        <v>0</v>
      </c>
      <c r="P89" s="51">
        <f t="shared" ca="1" si="55"/>
        <v>0</v>
      </c>
    </row>
    <row r="91" spans="3:18">
      <c r="C91" s="53" t="str">
        <f ca="1">+M86</f>
        <v>P11</v>
      </c>
      <c r="D91" s="4" t="s">
        <v>128</v>
      </c>
      <c r="E91" s="4" t="s">
        <v>129</v>
      </c>
      <c r="F91" s="4" t="s">
        <v>130</v>
      </c>
      <c r="H91" s="53" t="s">
        <v>133</v>
      </c>
      <c r="I91" s="4" t="s">
        <v>128</v>
      </c>
      <c r="J91" s="4" t="s">
        <v>129</v>
      </c>
      <c r="K91" s="4" t="s">
        <v>130</v>
      </c>
      <c r="M91" s="53" t="s">
        <v>150</v>
      </c>
      <c r="N91" s="4" t="s">
        <v>128</v>
      </c>
      <c r="O91" s="4" t="s">
        <v>129</v>
      </c>
      <c r="P91" s="4" t="s">
        <v>130</v>
      </c>
    </row>
    <row r="92" spans="3:18">
      <c r="C92" s="4" t="s">
        <v>128</v>
      </c>
      <c r="D92" s="51">
        <f ca="1">+N87</f>
        <v>0.25424012283165559</v>
      </c>
      <c r="E92" s="51">
        <f t="shared" ref="E92:F94" ca="1" si="58">+O87</f>
        <v>0.49983452898384495</v>
      </c>
      <c r="F92" s="51">
        <f t="shared" ca="1" si="58"/>
        <v>0.24592534818449857</v>
      </c>
      <c r="H92" s="4" t="s">
        <v>128</v>
      </c>
      <c r="I92" s="4">
        <f ca="1">+$D$14</f>
        <v>0.79999999999999993</v>
      </c>
      <c r="J92" s="4">
        <f ca="1">+$E$14</f>
        <v>0.15</v>
      </c>
      <c r="K92" s="4">
        <f ca="1">+$F$14</f>
        <v>0.05</v>
      </c>
      <c r="M92" s="4" t="s">
        <v>128</v>
      </c>
      <c r="N92" s="51">
        <f ca="1">+$D92*I$42+$E92*I$43+$F92*I$44</f>
        <v>0.24321918393173508</v>
      </c>
      <c r="O92" s="51">
        <f t="shared" ref="O92:P94" ca="1" si="59">+$D92*J$42+$E92*J$43+$F92*J$44</f>
        <v>0.50274261540127874</v>
      </c>
      <c r="P92" s="51">
        <f t="shared" ca="1" si="59"/>
        <v>0.25403820066698524</v>
      </c>
    </row>
    <row r="93" spans="3:18">
      <c r="C93" s="4" t="s">
        <v>129</v>
      </c>
      <c r="D93" s="51">
        <f t="shared" ref="D93:D94" ca="1" si="60">+N88</f>
        <v>0</v>
      </c>
      <c r="E93" s="51">
        <f t="shared" ca="1" si="58"/>
        <v>0</v>
      </c>
      <c r="F93" s="51">
        <f t="shared" ca="1" si="58"/>
        <v>0</v>
      </c>
      <c r="G93" s="4" t="s">
        <v>135</v>
      </c>
      <c r="H93" s="4" t="s">
        <v>129</v>
      </c>
      <c r="I93" s="4">
        <f ca="1">+$D$15</f>
        <v>0.06</v>
      </c>
      <c r="J93" s="4">
        <f ca="1">+$E$15</f>
        <v>0.89999999999999991</v>
      </c>
      <c r="K93" s="4">
        <f ca="1">+$F$15</f>
        <v>0.04</v>
      </c>
      <c r="L93" s="4" t="s">
        <v>6</v>
      </c>
      <c r="M93" s="4" t="s">
        <v>129</v>
      </c>
      <c r="N93" s="51">
        <f t="shared" ref="N93:N94" ca="1" si="61">+$D93*I$42+$E93*I$43+$F93*I$44</f>
        <v>0</v>
      </c>
      <c r="O93" s="51">
        <f t="shared" ca="1" si="59"/>
        <v>0</v>
      </c>
      <c r="P93" s="51">
        <f t="shared" ca="1" si="59"/>
        <v>0</v>
      </c>
    </row>
    <row r="94" spans="3:18">
      <c r="C94" s="4" t="s">
        <v>130</v>
      </c>
      <c r="D94" s="51">
        <f t="shared" ca="1" si="60"/>
        <v>0</v>
      </c>
      <c r="E94" s="51">
        <f t="shared" ca="1" si="58"/>
        <v>0</v>
      </c>
      <c r="F94" s="51">
        <f t="shared" ca="1" si="58"/>
        <v>0</v>
      </c>
      <c r="H94" s="4" t="s">
        <v>130</v>
      </c>
      <c r="I94" s="4">
        <f ca="1">+$D$16</f>
        <v>0.04</v>
      </c>
      <c r="J94" s="4">
        <f ca="1">+$E$16</f>
        <v>0.06</v>
      </c>
      <c r="K94" s="4">
        <f ca="1">+$F$16</f>
        <v>0.89999999999999991</v>
      </c>
      <c r="M94" s="4" t="s">
        <v>130</v>
      </c>
      <c r="N94" s="51">
        <f t="shared" ca="1" si="61"/>
        <v>0</v>
      </c>
      <c r="O94" s="51">
        <f t="shared" ca="1" si="59"/>
        <v>0</v>
      </c>
      <c r="P94" s="51">
        <f t="shared" ca="1" si="59"/>
        <v>0</v>
      </c>
    </row>
    <row r="96" spans="3:18">
      <c r="C96" s="53" t="str">
        <f ca="1">+M91</f>
        <v>P12</v>
      </c>
      <c r="D96" s="4" t="s">
        <v>128</v>
      </c>
      <c r="E96" s="4" t="s">
        <v>129</v>
      </c>
      <c r="F96" s="4" t="s">
        <v>130</v>
      </c>
      <c r="H96" s="53" t="s">
        <v>133</v>
      </c>
      <c r="I96" s="4" t="s">
        <v>128</v>
      </c>
      <c r="J96" s="4" t="s">
        <v>129</v>
      </c>
      <c r="K96" s="4" t="s">
        <v>130</v>
      </c>
      <c r="M96" s="53" t="s">
        <v>151</v>
      </c>
      <c r="N96" s="4" t="s">
        <v>128</v>
      </c>
      <c r="O96" s="4" t="s">
        <v>129</v>
      </c>
      <c r="P96" s="4" t="s">
        <v>130</v>
      </c>
    </row>
    <row r="97" spans="3:16">
      <c r="C97" s="4" t="s">
        <v>128</v>
      </c>
      <c r="D97" s="51">
        <f ca="1">+N92</f>
        <v>0.24321918393173508</v>
      </c>
      <c r="E97" s="51">
        <f t="shared" ref="E97:F99" ca="1" si="62">+O92</f>
        <v>0.50274261540127874</v>
      </c>
      <c r="F97" s="51">
        <f t="shared" ca="1" si="62"/>
        <v>0.25403820066698524</v>
      </c>
      <c r="H97" s="4" t="s">
        <v>128</v>
      </c>
      <c r="I97" s="4">
        <f ca="1">+$D$14</f>
        <v>0.79999999999999993</v>
      </c>
      <c r="J97" s="4">
        <f ca="1">+$E$14</f>
        <v>0.15</v>
      </c>
      <c r="K97" s="4">
        <f ca="1">+$F$14</f>
        <v>0.05</v>
      </c>
      <c r="M97" s="4" t="s">
        <v>128</v>
      </c>
      <c r="N97" s="51">
        <f ca="1">+$D97*I$42+$E97*I$43+$F97*I$44</f>
        <v>0.23490143209614417</v>
      </c>
      <c r="O97" s="51">
        <f t="shared" ref="O97:P99" ca="1" si="63">+$D97*J$42+$E97*J$43+$F97*J$44</f>
        <v>0.50419352349093016</v>
      </c>
      <c r="P97" s="51">
        <f t="shared" ca="1" si="63"/>
        <v>0.26090504441292461</v>
      </c>
    </row>
    <row r="98" spans="3:16">
      <c r="C98" s="4" t="s">
        <v>129</v>
      </c>
      <c r="D98" s="51">
        <f t="shared" ref="D98:D99" ca="1" si="64">+N93</f>
        <v>0</v>
      </c>
      <c r="E98" s="51">
        <f t="shared" ca="1" si="62"/>
        <v>0</v>
      </c>
      <c r="F98" s="51">
        <f t="shared" ca="1" si="62"/>
        <v>0</v>
      </c>
      <c r="G98" s="4" t="s">
        <v>135</v>
      </c>
      <c r="H98" s="4" t="s">
        <v>129</v>
      </c>
      <c r="I98" s="4">
        <f ca="1">+$D$15</f>
        <v>0.06</v>
      </c>
      <c r="J98" s="4">
        <f ca="1">+$E$15</f>
        <v>0.89999999999999991</v>
      </c>
      <c r="K98" s="4">
        <f ca="1">+$F$15</f>
        <v>0.04</v>
      </c>
      <c r="L98" s="4" t="s">
        <v>6</v>
      </c>
      <c r="M98" s="4" t="s">
        <v>129</v>
      </c>
      <c r="N98" s="51">
        <f t="shared" ref="N98:N99" ca="1" si="65">+$D98*I$42+$E98*I$43+$F98*I$44</f>
        <v>0</v>
      </c>
      <c r="O98" s="51">
        <f t="shared" ca="1" si="63"/>
        <v>0</v>
      </c>
      <c r="P98" s="51">
        <f t="shared" ca="1" si="63"/>
        <v>0</v>
      </c>
    </row>
    <row r="99" spans="3:16">
      <c r="C99" s="4" t="s">
        <v>130</v>
      </c>
      <c r="D99" s="51">
        <f t="shared" ca="1" si="64"/>
        <v>0</v>
      </c>
      <c r="E99" s="51">
        <f t="shared" ca="1" si="62"/>
        <v>0</v>
      </c>
      <c r="F99" s="51">
        <f t="shared" ca="1" si="62"/>
        <v>0</v>
      </c>
      <c r="H99" s="4" t="s">
        <v>130</v>
      </c>
      <c r="I99" s="4">
        <f ca="1">+$D$16</f>
        <v>0.04</v>
      </c>
      <c r="J99" s="4">
        <f ca="1">+$E$16</f>
        <v>0.06</v>
      </c>
      <c r="K99" s="4">
        <f ca="1">+$F$16</f>
        <v>0.89999999999999991</v>
      </c>
      <c r="M99" s="4" t="s">
        <v>130</v>
      </c>
      <c r="N99" s="51">
        <f t="shared" ca="1" si="65"/>
        <v>0</v>
      </c>
      <c r="O99" s="51">
        <f t="shared" ca="1" si="63"/>
        <v>0</v>
      </c>
      <c r="P99" s="51">
        <f t="shared" ca="1" si="63"/>
        <v>0</v>
      </c>
    </row>
    <row r="101" spans="3:16">
      <c r="C101" s="53" t="str">
        <f ca="1">+M96</f>
        <v>P13</v>
      </c>
      <c r="D101" s="4" t="s">
        <v>128</v>
      </c>
      <c r="E101" s="4" t="s">
        <v>129</v>
      </c>
      <c r="F101" s="4" t="s">
        <v>130</v>
      </c>
      <c r="H101" s="53" t="s">
        <v>133</v>
      </c>
      <c r="I101" s="4" t="s">
        <v>128</v>
      </c>
      <c r="J101" s="4" t="s">
        <v>129</v>
      </c>
      <c r="K101" s="4" t="s">
        <v>130</v>
      </c>
      <c r="M101" s="53" t="s">
        <v>152</v>
      </c>
      <c r="N101" s="4" t="s">
        <v>128</v>
      </c>
      <c r="O101" s="4" t="s">
        <v>129</v>
      </c>
      <c r="P101" s="4" t="s">
        <v>130</v>
      </c>
    </row>
    <row r="102" spans="3:16">
      <c r="C102" s="4" t="s">
        <v>128</v>
      </c>
      <c r="D102" s="51">
        <f ca="1">+N97</f>
        <v>0.23490143209614417</v>
      </c>
      <c r="E102" s="51">
        <f t="shared" ref="E102:F104" ca="1" si="66">+O97</f>
        <v>0.50419352349093016</v>
      </c>
      <c r="F102" s="51">
        <f t="shared" ca="1" si="66"/>
        <v>0.26090504441292461</v>
      </c>
      <c r="H102" s="4" t="s">
        <v>128</v>
      </c>
      <c r="I102" s="4">
        <f ca="1">+$D$14</f>
        <v>0.79999999999999993</v>
      </c>
      <c r="J102" s="4">
        <f ca="1">+$E$14</f>
        <v>0.15</v>
      </c>
      <c r="K102" s="4">
        <f ca="1">+$F$14</f>
        <v>0.05</v>
      </c>
      <c r="M102" s="4" t="s">
        <v>128</v>
      </c>
      <c r="N102" s="51">
        <f ca="1">+$D102*I$42+$E102*I$43+$F102*I$44</f>
        <v>0.22860895886288812</v>
      </c>
      <c r="O102" s="51">
        <f t="shared" ref="O102:P104" ca="1" si="67">+$D102*J$42+$E102*J$43+$F102*J$44</f>
        <v>0.50466368862103417</v>
      </c>
      <c r="P102" s="51">
        <f t="shared" ca="1" si="67"/>
        <v>0.26672735251607654</v>
      </c>
    </row>
    <row r="103" spans="3:16">
      <c r="C103" s="4" t="s">
        <v>129</v>
      </c>
      <c r="D103" s="51">
        <f t="shared" ref="D103:D104" ca="1" si="68">+N98</f>
        <v>0</v>
      </c>
      <c r="E103" s="51">
        <f t="shared" ca="1" si="66"/>
        <v>0</v>
      </c>
      <c r="F103" s="51">
        <f t="shared" ca="1" si="66"/>
        <v>0</v>
      </c>
      <c r="G103" s="4" t="s">
        <v>135</v>
      </c>
      <c r="H103" s="4" t="s">
        <v>129</v>
      </c>
      <c r="I103" s="4">
        <f ca="1">+$D$15</f>
        <v>0.06</v>
      </c>
      <c r="J103" s="4">
        <f ca="1">+$E$15</f>
        <v>0.89999999999999991</v>
      </c>
      <c r="K103" s="4">
        <f ca="1">+$F$15</f>
        <v>0.04</v>
      </c>
      <c r="L103" s="4" t="s">
        <v>6</v>
      </c>
      <c r="M103" s="4" t="s">
        <v>129</v>
      </c>
      <c r="N103" s="51">
        <f t="shared" ref="N103:N104" ca="1" si="69">+$D103*I$42+$E103*I$43+$F103*I$44</f>
        <v>0</v>
      </c>
      <c r="O103" s="51">
        <f t="shared" ca="1" si="67"/>
        <v>0</v>
      </c>
      <c r="P103" s="51">
        <f t="shared" ca="1" si="67"/>
        <v>0</v>
      </c>
    </row>
    <row r="104" spans="3:16">
      <c r="C104" s="4" t="s">
        <v>130</v>
      </c>
      <c r="D104" s="51">
        <f t="shared" ca="1" si="68"/>
        <v>0</v>
      </c>
      <c r="E104" s="51">
        <f t="shared" ca="1" si="66"/>
        <v>0</v>
      </c>
      <c r="F104" s="51">
        <f t="shared" ca="1" si="66"/>
        <v>0</v>
      </c>
      <c r="H104" s="4" t="s">
        <v>130</v>
      </c>
      <c r="I104" s="4">
        <f ca="1">+$D$16</f>
        <v>0.04</v>
      </c>
      <c r="J104" s="4">
        <f ca="1">+$E$16</f>
        <v>0.06</v>
      </c>
      <c r="K104" s="4">
        <f ca="1">+$F$16</f>
        <v>0.89999999999999991</v>
      </c>
      <c r="M104" s="4" t="s">
        <v>130</v>
      </c>
      <c r="N104" s="51">
        <f t="shared" ca="1" si="69"/>
        <v>0</v>
      </c>
      <c r="O104" s="51">
        <f t="shared" ca="1" si="67"/>
        <v>0</v>
      </c>
      <c r="P104" s="51">
        <f t="shared" ca="1" si="67"/>
        <v>0</v>
      </c>
    </row>
    <row r="106" spans="3:16">
      <c r="C106" s="53" t="str">
        <f ca="1">+M101</f>
        <v>P14</v>
      </c>
      <c r="D106" s="4" t="s">
        <v>128</v>
      </c>
      <c r="E106" s="4" t="s">
        <v>129</v>
      </c>
      <c r="F106" s="4" t="s">
        <v>130</v>
      </c>
      <c r="H106" s="53" t="s">
        <v>133</v>
      </c>
      <c r="I106" s="4" t="s">
        <v>128</v>
      </c>
      <c r="J106" s="4" t="s">
        <v>129</v>
      </c>
      <c r="K106" s="4" t="s">
        <v>130</v>
      </c>
      <c r="M106" s="53" t="s">
        <v>153</v>
      </c>
      <c r="N106" s="4" t="s">
        <v>128</v>
      </c>
      <c r="O106" s="4" t="s">
        <v>129</v>
      </c>
      <c r="P106" s="4" t="s">
        <v>130</v>
      </c>
    </row>
    <row r="107" spans="3:16">
      <c r="C107" s="4" t="s">
        <v>128</v>
      </c>
      <c r="D107" s="51">
        <f ca="1">+N102</f>
        <v>0.22860895886288812</v>
      </c>
      <c r="E107" s="51">
        <f t="shared" ref="E107:F109" ca="1" si="70">+O102</f>
        <v>0.50466368862103417</v>
      </c>
      <c r="F107" s="51">
        <f t="shared" ca="1" si="70"/>
        <v>0.26672735251607654</v>
      </c>
      <c r="H107" s="4" t="s">
        <v>128</v>
      </c>
      <c r="I107" s="4">
        <f ca="1">+$D$14</f>
        <v>0.79999999999999993</v>
      </c>
      <c r="J107" s="4">
        <f ca="1">+$E$14</f>
        <v>0.15</v>
      </c>
      <c r="K107" s="4">
        <f ca="1">+$F$14</f>
        <v>0.05</v>
      </c>
      <c r="M107" s="4" t="s">
        <v>128</v>
      </c>
      <c r="N107" s="51">
        <f ca="1">+$D107*I$42+$E107*I$43+$F107*I$44</f>
        <v>0.2238360825082156</v>
      </c>
      <c r="O107" s="51">
        <f t="shared" ref="O107:P109" ca="1" si="71">+$D107*J$42+$E107*J$43+$F107*J$44</f>
        <v>0.50449230473932849</v>
      </c>
      <c r="P107" s="51">
        <f t="shared" ca="1" si="71"/>
        <v>0.27167161275245466</v>
      </c>
    </row>
    <row r="108" spans="3:16">
      <c r="C108" s="4" t="s">
        <v>129</v>
      </c>
      <c r="D108" s="51">
        <f t="shared" ref="D108:D109" ca="1" si="72">+N103</f>
        <v>0</v>
      </c>
      <c r="E108" s="51">
        <f t="shared" ca="1" si="70"/>
        <v>0</v>
      </c>
      <c r="F108" s="51">
        <f t="shared" ca="1" si="70"/>
        <v>0</v>
      </c>
      <c r="G108" s="4" t="s">
        <v>135</v>
      </c>
      <c r="H108" s="4" t="s">
        <v>129</v>
      </c>
      <c r="I108" s="4">
        <f ca="1">+$D$15</f>
        <v>0.06</v>
      </c>
      <c r="J108" s="4">
        <f ca="1">+$E$15</f>
        <v>0.89999999999999991</v>
      </c>
      <c r="K108" s="4">
        <f ca="1">+$F$15</f>
        <v>0.04</v>
      </c>
      <c r="L108" s="4" t="s">
        <v>6</v>
      </c>
      <c r="M108" s="4" t="s">
        <v>129</v>
      </c>
      <c r="N108" s="51">
        <f t="shared" ref="N108:N109" ca="1" si="73">+$D108*I$42+$E108*I$43+$F108*I$44</f>
        <v>0</v>
      </c>
      <c r="O108" s="51">
        <f t="shared" ca="1" si="71"/>
        <v>0</v>
      </c>
      <c r="P108" s="51">
        <f t="shared" ca="1" si="71"/>
        <v>0</v>
      </c>
    </row>
    <row r="109" spans="3:16">
      <c r="C109" s="4" t="s">
        <v>130</v>
      </c>
      <c r="D109" s="51">
        <f t="shared" ca="1" si="72"/>
        <v>0</v>
      </c>
      <c r="E109" s="51">
        <f t="shared" ca="1" si="70"/>
        <v>0</v>
      </c>
      <c r="F109" s="51">
        <f t="shared" ca="1" si="70"/>
        <v>0</v>
      </c>
      <c r="H109" s="4" t="s">
        <v>130</v>
      </c>
      <c r="I109" s="4">
        <f ca="1">+$D$16</f>
        <v>0.04</v>
      </c>
      <c r="J109" s="4">
        <f ca="1">+$E$16</f>
        <v>0.06</v>
      </c>
      <c r="K109" s="4">
        <f ca="1">+$F$16</f>
        <v>0.89999999999999991</v>
      </c>
      <c r="M109" s="4" t="s">
        <v>130</v>
      </c>
      <c r="N109" s="51">
        <f t="shared" ca="1" si="73"/>
        <v>0</v>
      </c>
      <c r="O109" s="51">
        <f t="shared" ca="1" si="71"/>
        <v>0</v>
      </c>
      <c r="P109" s="51">
        <f t="shared" ca="1" si="71"/>
        <v>0</v>
      </c>
    </row>
    <row r="111" spans="3:16">
      <c r="C111" s="53" t="str">
        <f ca="1">+M106</f>
        <v>P15</v>
      </c>
      <c r="D111" s="4" t="s">
        <v>128</v>
      </c>
      <c r="E111" s="4" t="s">
        <v>129</v>
      </c>
      <c r="F111" s="4" t="s">
        <v>130</v>
      </c>
      <c r="H111" s="53" t="s">
        <v>133</v>
      </c>
      <c r="I111" s="4" t="s">
        <v>128</v>
      </c>
      <c r="J111" s="4" t="s">
        <v>129</v>
      </c>
      <c r="K111" s="4" t="s">
        <v>130</v>
      </c>
      <c r="M111" s="53" t="s">
        <v>154</v>
      </c>
      <c r="N111" s="4" t="s">
        <v>128</v>
      </c>
      <c r="O111" s="4" t="s">
        <v>129</v>
      </c>
      <c r="P111" s="4" t="s">
        <v>130</v>
      </c>
    </row>
    <row r="112" spans="3:16">
      <c r="C112" s="4" t="s">
        <v>128</v>
      </c>
      <c r="D112" s="51">
        <f ca="1">+N107</f>
        <v>0.2238360825082156</v>
      </c>
      <c r="E112" s="51">
        <f t="shared" ref="E112:F114" ca="1" si="74">+O107</f>
        <v>0.50449230473932849</v>
      </c>
      <c r="F112" s="51">
        <f t="shared" ca="1" si="74"/>
        <v>0.27167161275245466</v>
      </c>
      <c r="H112" s="4" t="s">
        <v>128</v>
      </c>
      <c r="I112" s="4">
        <f ca="1">+$D$14</f>
        <v>0.79999999999999993</v>
      </c>
      <c r="J112" s="4">
        <f ca="1">+$E$14</f>
        <v>0.15</v>
      </c>
      <c r="K112" s="4">
        <f ca="1">+$F$14</f>
        <v>0.05</v>
      </c>
      <c r="M112" s="4" t="s">
        <v>128</v>
      </c>
      <c r="N112" s="51">
        <f ca="1">+$D112*I$42+$E112*I$43+$F112*I$44</f>
        <v>0.22020526880103036</v>
      </c>
      <c r="O112" s="51">
        <f t="shared" ref="O112:P114" ca="1" si="75">+$D112*J$42+$E112*J$43+$F112*J$44</f>
        <v>0.50391878340677521</v>
      </c>
      <c r="P112" s="51">
        <f t="shared" ca="1" si="75"/>
        <v>0.2758759477921931</v>
      </c>
    </row>
    <row r="113" spans="3:16">
      <c r="C113" s="4" t="s">
        <v>129</v>
      </c>
      <c r="D113" s="51">
        <f t="shared" ref="D113:D114" ca="1" si="76">+N108</f>
        <v>0</v>
      </c>
      <c r="E113" s="51">
        <f t="shared" ca="1" si="74"/>
        <v>0</v>
      </c>
      <c r="F113" s="51">
        <f t="shared" ca="1" si="74"/>
        <v>0</v>
      </c>
      <c r="G113" s="4" t="s">
        <v>135</v>
      </c>
      <c r="H113" s="4" t="s">
        <v>129</v>
      </c>
      <c r="I113" s="4">
        <f ca="1">+$D$15</f>
        <v>0.06</v>
      </c>
      <c r="J113" s="4">
        <f ca="1">+$E$15</f>
        <v>0.89999999999999991</v>
      </c>
      <c r="K113" s="4">
        <f ca="1">+$F$15</f>
        <v>0.04</v>
      </c>
      <c r="L113" s="4" t="s">
        <v>6</v>
      </c>
      <c r="M113" s="4" t="s">
        <v>129</v>
      </c>
      <c r="N113" s="51">
        <f t="shared" ref="N113:N114" ca="1" si="77">+$D113*I$42+$E113*I$43+$F113*I$44</f>
        <v>0</v>
      </c>
      <c r="O113" s="51">
        <f t="shared" ca="1" si="75"/>
        <v>0</v>
      </c>
      <c r="P113" s="51">
        <f t="shared" ca="1" si="75"/>
        <v>0</v>
      </c>
    </row>
    <row r="114" spans="3:16">
      <c r="C114" s="4" t="s">
        <v>130</v>
      </c>
      <c r="D114" s="51">
        <f t="shared" ca="1" si="76"/>
        <v>0</v>
      </c>
      <c r="E114" s="51">
        <f t="shared" ca="1" si="74"/>
        <v>0</v>
      </c>
      <c r="F114" s="51">
        <f t="shared" ca="1" si="74"/>
        <v>0</v>
      </c>
      <c r="H114" s="4" t="s">
        <v>130</v>
      </c>
      <c r="I114" s="4">
        <f ca="1">+$D$16</f>
        <v>0.04</v>
      </c>
      <c r="J114" s="4">
        <f ca="1">+$E$16</f>
        <v>0.06</v>
      </c>
      <c r="K114" s="4">
        <f ca="1">+$F$16</f>
        <v>0.89999999999999991</v>
      </c>
      <c r="M114" s="4" t="s">
        <v>130</v>
      </c>
      <c r="N114" s="51">
        <f t="shared" ca="1" si="77"/>
        <v>0</v>
      </c>
      <c r="O114" s="51">
        <f t="shared" ca="1" si="75"/>
        <v>0</v>
      </c>
      <c r="P114" s="51">
        <f t="shared" ca="1" si="75"/>
        <v>0</v>
      </c>
    </row>
    <row r="116" spans="3:16">
      <c r="C116" s="53" t="str">
        <f ca="1">+M111</f>
        <v>P16</v>
      </c>
      <c r="D116" s="4" t="s">
        <v>128</v>
      </c>
      <c r="E116" s="4" t="s">
        <v>129</v>
      </c>
      <c r="F116" s="4" t="s">
        <v>130</v>
      </c>
      <c r="H116" s="53" t="s">
        <v>133</v>
      </c>
      <c r="I116" s="4" t="s">
        <v>128</v>
      </c>
      <c r="J116" s="4" t="s">
        <v>129</v>
      </c>
      <c r="K116" s="4" t="s">
        <v>130</v>
      </c>
      <c r="M116" s="53" t="s">
        <v>155</v>
      </c>
      <c r="N116" s="4" t="s">
        <v>128</v>
      </c>
      <c r="O116" s="4" t="s">
        <v>129</v>
      </c>
      <c r="P116" s="4" t="s">
        <v>130</v>
      </c>
    </row>
    <row r="117" spans="3:16">
      <c r="C117" s="4" t="s">
        <v>128</v>
      </c>
      <c r="D117" s="51">
        <f ca="1">+N112</f>
        <v>0.22020526880103036</v>
      </c>
      <c r="E117" s="51">
        <f t="shared" ref="E117:F119" ca="1" si="78">+O112</f>
        <v>0.50391878340677521</v>
      </c>
      <c r="F117" s="51">
        <f t="shared" ca="1" si="78"/>
        <v>0.2758759477921931</v>
      </c>
      <c r="H117" s="4" t="s">
        <v>128</v>
      </c>
      <c r="I117" s="4">
        <f ca="1">+$D$14</f>
        <v>0.79999999999999993</v>
      </c>
      <c r="J117" s="4">
        <f ca="1">+$E$14</f>
        <v>0.15</v>
      </c>
      <c r="K117" s="4">
        <f ca="1">+$F$14</f>
        <v>0.05</v>
      </c>
      <c r="M117" s="4" t="s">
        <v>128</v>
      </c>
      <c r="N117" s="61">
        <f ca="1">+$D117*I$42+$E117*I$43+$F117*I$44</f>
        <v>0.2174343799569185</v>
      </c>
      <c r="O117" s="51">
        <f t="shared" ref="O117:P119" ca="1" si="79">+$D117*J$42+$E117*J$43+$F117*J$44</f>
        <v>0.50311025225378381</v>
      </c>
      <c r="P117" s="51">
        <f t="shared" ca="1" si="79"/>
        <v>0.27945536778929631</v>
      </c>
    </row>
    <row r="118" spans="3:16">
      <c r="C118" s="4" t="s">
        <v>129</v>
      </c>
      <c r="D118" s="51">
        <f t="shared" ref="D118:D119" ca="1" si="80">+N113</f>
        <v>0</v>
      </c>
      <c r="E118" s="51">
        <f t="shared" ca="1" si="78"/>
        <v>0</v>
      </c>
      <c r="F118" s="51">
        <f t="shared" ca="1" si="78"/>
        <v>0</v>
      </c>
      <c r="G118" s="4" t="s">
        <v>135</v>
      </c>
      <c r="H118" s="4" t="s">
        <v>129</v>
      </c>
      <c r="I118" s="4">
        <f ca="1">+$D$15</f>
        <v>0.06</v>
      </c>
      <c r="J118" s="4">
        <f ca="1">+$E$15</f>
        <v>0.89999999999999991</v>
      </c>
      <c r="K118" s="4">
        <f ca="1">+$F$15</f>
        <v>0.04</v>
      </c>
      <c r="L118" s="4" t="s">
        <v>6</v>
      </c>
      <c r="M118" s="4" t="s">
        <v>129</v>
      </c>
      <c r="N118" s="51">
        <f t="shared" ref="N118:N119" ca="1" si="81">+$D118*I$42+$E118*I$43+$F118*I$44</f>
        <v>0</v>
      </c>
      <c r="O118" s="61">
        <f t="shared" ca="1" si="79"/>
        <v>0</v>
      </c>
      <c r="P118" s="51">
        <f t="shared" ca="1" si="79"/>
        <v>0</v>
      </c>
    </row>
    <row r="119" spans="3:16">
      <c r="C119" s="4" t="s">
        <v>130</v>
      </c>
      <c r="D119" s="51">
        <f t="shared" ca="1" si="80"/>
        <v>0</v>
      </c>
      <c r="E119" s="51">
        <f t="shared" ca="1" si="78"/>
        <v>0</v>
      </c>
      <c r="F119" s="51">
        <f t="shared" ca="1" si="78"/>
        <v>0</v>
      </c>
      <c r="H119" s="4" t="s">
        <v>130</v>
      </c>
      <c r="I119" s="4">
        <f ca="1">+$D$16</f>
        <v>0.04</v>
      </c>
      <c r="J119" s="4">
        <f ca="1">+$E$16</f>
        <v>0.06</v>
      </c>
      <c r="K119" s="4">
        <f ca="1">+$F$16</f>
        <v>0.89999999999999991</v>
      </c>
      <c r="M119" s="4" t="s">
        <v>130</v>
      </c>
      <c r="N119" s="51">
        <f t="shared" ca="1" si="81"/>
        <v>0</v>
      </c>
      <c r="O119" s="51">
        <f t="shared" ca="1" si="79"/>
        <v>0</v>
      </c>
      <c r="P119" s="61">
        <f t="shared" ca="1" si="79"/>
        <v>0</v>
      </c>
    </row>
    <row r="121" spans="3:16">
      <c r="C121" s="53" t="str">
        <f ca="1">+M116</f>
        <v>P17</v>
      </c>
      <c r="D121" s="4" t="s">
        <v>128</v>
      </c>
      <c r="E121" s="4" t="s">
        <v>129</v>
      </c>
      <c r="F121" s="4" t="s">
        <v>130</v>
      </c>
      <c r="H121" s="53" t="s">
        <v>133</v>
      </c>
      <c r="I121" s="4" t="s">
        <v>128</v>
      </c>
      <c r="J121" s="4" t="s">
        <v>129</v>
      </c>
      <c r="K121" s="4" t="s">
        <v>130</v>
      </c>
      <c r="M121" s="53" t="s">
        <v>156</v>
      </c>
      <c r="N121" s="4" t="s">
        <v>128</v>
      </c>
      <c r="O121" s="4" t="s">
        <v>129</v>
      </c>
      <c r="P121" s="4" t="s">
        <v>130</v>
      </c>
    </row>
    <row r="122" spans="3:16">
      <c r="C122" s="4" t="s">
        <v>128</v>
      </c>
      <c r="D122" s="51">
        <f ca="1">+N117</f>
        <v>0.2174343799569185</v>
      </c>
      <c r="E122" s="51">
        <f t="shared" ref="E122:F124" ca="1" si="82">+O117</f>
        <v>0.50311025225378381</v>
      </c>
      <c r="F122" s="51">
        <f t="shared" ca="1" si="82"/>
        <v>0.27945536778929631</v>
      </c>
      <c r="H122" s="4" t="s">
        <v>128</v>
      </c>
      <c r="I122" s="4">
        <f ca="1">+$D$14</f>
        <v>0.79999999999999993</v>
      </c>
      <c r="J122" s="4">
        <f ca="1">+$E$14</f>
        <v>0.15</v>
      </c>
      <c r="K122" s="4">
        <f ca="1">+$F$14</f>
        <v>0.05</v>
      </c>
      <c r="M122" s="4" t="s">
        <v>128</v>
      </c>
      <c r="N122" s="61">
        <f ca="1">+$D122*I$42+$E122*I$43+$F122*I$44</f>
        <v>0.21531233381233367</v>
      </c>
      <c r="O122" s="51">
        <f t="shared" ref="O122:P124" ca="1" si="83">+$D122*J$42+$E122*J$43+$F122*J$44</f>
        <v>0.50218170608930091</v>
      </c>
      <c r="P122" s="51">
        <f t="shared" ca="1" si="83"/>
        <v>0.28250596009836393</v>
      </c>
    </row>
    <row r="123" spans="3:16">
      <c r="C123" s="4" t="s">
        <v>129</v>
      </c>
      <c r="D123" s="51">
        <f t="shared" ref="D123:D124" ca="1" si="84">+N118</f>
        <v>0</v>
      </c>
      <c r="E123" s="51">
        <f t="shared" ca="1" si="82"/>
        <v>0</v>
      </c>
      <c r="F123" s="51">
        <f t="shared" ca="1" si="82"/>
        <v>0</v>
      </c>
      <c r="G123" s="4" t="s">
        <v>135</v>
      </c>
      <c r="H123" s="4" t="s">
        <v>129</v>
      </c>
      <c r="I123" s="4">
        <f ca="1">+$D$15</f>
        <v>0.06</v>
      </c>
      <c r="J123" s="4">
        <f ca="1">+$E$15</f>
        <v>0.89999999999999991</v>
      </c>
      <c r="K123" s="4">
        <f ca="1">+$F$15</f>
        <v>0.04</v>
      </c>
      <c r="L123" s="4" t="s">
        <v>6</v>
      </c>
      <c r="M123" s="4" t="s">
        <v>129</v>
      </c>
      <c r="N123" s="51">
        <f t="shared" ref="N123:N124" ca="1" si="85">+$D123*I$42+$E123*I$43+$F123*I$44</f>
        <v>0</v>
      </c>
      <c r="O123" s="61">
        <f t="shared" ca="1" si="83"/>
        <v>0</v>
      </c>
      <c r="P123" s="51">
        <f t="shared" ca="1" si="83"/>
        <v>0</v>
      </c>
    </row>
    <row r="124" spans="3:16">
      <c r="C124" s="4" t="s">
        <v>130</v>
      </c>
      <c r="D124" s="51">
        <f t="shared" ca="1" si="84"/>
        <v>0</v>
      </c>
      <c r="E124" s="51">
        <f t="shared" ca="1" si="82"/>
        <v>0</v>
      </c>
      <c r="F124" s="51">
        <f t="shared" ca="1" si="82"/>
        <v>0</v>
      </c>
      <c r="H124" s="4" t="s">
        <v>130</v>
      </c>
      <c r="I124" s="4">
        <f ca="1">+$D$16</f>
        <v>0.04</v>
      </c>
      <c r="J124" s="4">
        <f ca="1">+$E$16</f>
        <v>0.06</v>
      </c>
      <c r="K124" s="4">
        <f ca="1">+$F$16</f>
        <v>0.89999999999999991</v>
      </c>
      <c r="M124" s="4" t="s">
        <v>130</v>
      </c>
      <c r="N124" s="51">
        <f t="shared" ca="1" si="85"/>
        <v>0</v>
      </c>
      <c r="O124" s="51">
        <f t="shared" ca="1" si="83"/>
        <v>0</v>
      </c>
      <c r="P124" s="61">
        <f t="shared" ca="1" si="83"/>
        <v>0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P41"/>
  <sheetViews>
    <sheetView workbookViewId="0">
      <selection activeCell="J10" sqref="J10:K11"/>
    </sheetView>
  </sheetViews>
  <sheetFormatPr baseColWidth="10" defaultRowHeight="15"/>
  <cols>
    <col min="1" max="1" width="2.42578125" customWidth="1"/>
    <col min="2" max="2" width="3.42578125" customWidth="1"/>
    <col min="3" max="3" width="13.28515625" customWidth="1"/>
    <col min="4" max="4" width="11.140625" customWidth="1"/>
    <col min="5" max="5" width="7.85546875" customWidth="1"/>
    <col min="6" max="6" width="19.5703125" customWidth="1"/>
    <col min="7" max="7" width="11.85546875" customWidth="1"/>
    <col min="8" max="8" width="17.85546875" customWidth="1"/>
    <col min="9" max="9" width="9" customWidth="1"/>
    <col min="10" max="10" width="10.42578125" customWidth="1"/>
    <col min="11" max="11" width="13.42578125" customWidth="1"/>
    <col min="13" max="13" width="14" customWidth="1"/>
    <col min="14" max="14" width="2.28515625" customWidth="1"/>
  </cols>
  <sheetData>
    <row r="10" spans="2:12">
      <c r="B10" s="123" t="s">
        <v>157</v>
      </c>
      <c r="C10" s="82" t="s">
        <v>158</v>
      </c>
      <c r="D10" s="124">
        <v>0.16666666666666666</v>
      </c>
      <c r="E10" s="82" t="s">
        <v>159</v>
      </c>
      <c r="F10" t="s">
        <v>160</v>
      </c>
      <c r="G10">
        <f ca="1">60*D10</f>
        <v>10</v>
      </c>
      <c r="H10" t="s">
        <v>161</v>
      </c>
      <c r="J10" s="62" t="s">
        <v>335</v>
      </c>
      <c r="K10" s="62">
        <v>6</v>
      </c>
      <c r="L10" s="62" t="s">
        <v>334</v>
      </c>
    </row>
    <row r="11" spans="2:12">
      <c r="B11" s="82" t="s">
        <v>162</v>
      </c>
      <c r="C11" s="82" t="s">
        <v>163</v>
      </c>
      <c r="D11" s="124">
        <v>0.25</v>
      </c>
      <c r="E11" s="82" t="s">
        <v>159</v>
      </c>
      <c r="F11" t="s">
        <v>164</v>
      </c>
      <c r="G11">
        <f ca="1">60*D11</f>
        <v>15</v>
      </c>
      <c r="H11" t="s">
        <v>161</v>
      </c>
      <c r="J11" s="62" t="s">
        <v>158</v>
      </c>
      <c r="K11" s="62">
        <f ca="1">1/K10</f>
        <v>0.16666666666666666</v>
      </c>
      <c r="L11" s="62" t="s">
        <v>336</v>
      </c>
    </row>
    <row r="12" spans="2:12">
      <c r="B12" s="63" t="s">
        <v>165</v>
      </c>
      <c r="C12" t="s">
        <v>166</v>
      </c>
      <c r="D12" s="65">
        <f ca="1">+D10/D11</f>
        <v>0.66666666666666663</v>
      </c>
      <c r="E12" t="s">
        <v>337</v>
      </c>
      <c r="K12" s="62"/>
      <c r="L12" s="62"/>
    </row>
    <row r="13" spans="2:12" ht="4.5" customHeight="1">
      <c r="B13" s="63"/>
      <c r="D13" s="65"/>
    </row>
    <row r="14" spans="2:12">
      <c r="B14" s="14" t="s">
        <v>3</v>
      </c>
      <c r="C14" t="s">
        <v>167</v>
      </c>
      <c r="G14" s="66" t="s">
        <v>168</v>
      </c>
      <c r="H14" s="4" t="s">
        <v>169</v>
      </c>
      <c r="I14" s="67" t="s">
        <v>168</v>
      </c>
      <c r="J14" s="68">
        <f ca="1">+D10/D11</f>
        <v>0.66666666666666663</v>
      </c>
    </row>
    <row r="15" spans="2:12" ht="4.5" customHeight="1">
      <c r="G15" s="4"/>
      <c r="H15" s="4"/>
      <c r="I15" s="4"/>
    </row>
    <row r="16" spans="2:12">
      <c r="B16" s="14" t="s">
        <v>15</v>
      </c>
      <c r="C16" t="s">
        <v>170</v>
      </c>
    </row>
    <row r="17" spans="2:16" ht="4.5" customHeight="1">
      <c r="B17" s="63"/>
      <c r="D17" s="65"/>
      <c r="F17" s="4"/>
    </row>
    <row r="18" spans="2:16">
      <c r="C18" t="s">
        <v>171</v>
      </c>
      <c r="G18" s="66"/>
      <c r="H18" s="4"/>
    </row>
    <row r="19" spans="2:16">
      <c r="C19" t="s">
        <v>172</v>
      </c>
      <c r="D19" s="66" t="s">
        <v>173</v>
      </c>
      <c r="E19" s="69">
        <f ca="1">1-D12</f>
        <v>0.33333333333333337</v>
      </c>
      <c r="F19" t="s">
        <v>345</v>
      </c>
    </row>
    <row r="20" spans="2:16">
      <c r="C20" t="s">
        <v>174</v>
      </c>
      <c r="D20" s="66" t="s">
        <v>175</v>
      </c>
      <c r="E20" s="69">
        <f ca="1">+E19*$D$12</f>
        <v>0.22222222222222224</v>
      </c>
      <c r="F20" t="s">
        <v>340</v>
      </c>
      <c r="G20" s="70" t="s">
        <v>176</v>
      </c>
      <c r="H20" s="71"/>
      <c r="I20" s="72">
        <f ca="1">1-E25</f>
        <v>8.7791495198902614E-2</v>
      </c>
      <c r="O20" s="4" t="s">
        <v>338</v>
      </c>
      <c r="P20" s="125">
        <f ca="1">1-D12</f>
        <v>0.33333333333333337</v>
      </c>
    </row>
    <row r="21" spans="2:16">
      <c r="C21" t="s">
        <v>177</v>
      </c>
      <c r="D21" s="66" t="s">
        <v>178</v>
      </c>
      <c r="E21" s="69">
        <f ca="1">+E20*$D$12</f>
        <v>0.14814814814814814</v>
      </c>
      <c r="F21" t="s">
        <v>342</v>
      </c>
      <c r="G21" s="66"/>
      <c r="H21" s="4"/>
      <c r="O21" t="s">
        <v>339</v>
      </c>
      <c r="P21" t="s">
        <v>340</v>
      </c>
    </row>
    <row r="22" spans="2:16">
      <c r="C22" t="s">
        <v>179</v>
      </c>
      <c r="D22" s="66" t="s">
        <v>180</v>
      </c>
      <c r="E22" s="69">
        <f t="shared" ref="E21:E24" ca="1" si="0">+E21*$D$12</f>
        <v>9.8765432098765427E-2</v>
      </c>
      <c r="F22" t="s">
        <v>344</v>
      </c>
      <c r="G22" s="66"/>
      <c r="H22" s="4"/>
      <c r="O22" t="s">
        <v>341</v>
      </c>
      <c r="P22" t="s">
        <v>342</v>
      </c>
    </row>
    <row r="23" spans="2:16">
      <c r="C23" t="s">
        <v>181</v>
      </c>
      <c r="D23" s="66" t="s">
        <v>182</v>
      </c>
      <c r="E23" s="69">
        <f t="shared" ca="1" si="0"/>
        <v>6.5843621399176946E-2</v>
      </c>
      <c r="F23" t="s">
        <v>347</v>
      </c>
      <c r="G23" s="66"/>
      <c r="H23" s="4"/>
      <c r="O23" t="s">
        <v>343</v>
      </c>
      <c r="P23" t="s">
        <v>344</v>
      </c>
    </row>
    <row r="24" spans="2:16">
      <c r="C24" t="s">
        <v>183</v>
      </c>
      <c r="D24" s="66" t="s">
        <v>184</v>
      </c>
      <c r="E24" s="69">
        <f t="shared" ca="1" si="0"/>
        <v>4.3895747599451293E-2</v>
      </c>
      <c r="F24" t="s">
        <v>346</v>
      </c>
      <c r="G24" s="66"/>
      <c r="H24" s="4"/>
    </row>
    <row r="25" spans="2:16">
      <c r="D25" s="73" t="s">
        <v>185</v>
      </c>
      <c r="E25" s="74">
        <f ca="1">+SUM(E19:E24)</f>
        <v>0.91220850480109739</v>
      </c>
      <c r="G25" s="66"/>
      <c r="H25" s="4"/>
    </row>
    <row r="26" spans="2:16" ht="4.5" customHeight="1">
      <c r="B26" s="63"/>
      <c r="D26" s="65"/>
      <c r="F26" s="4"/>
      <c r="G26" s="4"/>
      <c r="H26" s="4"/>
    </row>
    <row r="27" spans="2:16">
      <c r="B27" s="14" t="s">
        <v>28</v>
      </c>
      <c r="C27" t="s">
        <v>186</v>
      </c>
      <c r="G27" s="4" t="s">
        <v>187</v>
      </c>
      <c r="H27" s="4" t="s">
        <v>188</v>
      </c>
      <c r="I27" s="67" t="s">
        <v>187</v>
      </c>
      <c r="J27" s="75">
        <f ca="1">+D12*D12/(1-D12)</f>
        <v>1.333333333333333</v>
      </c>
      <c r="K27" s="76" t="s">
        <v>189</v>
      </c>
    </row>
    <row r="28" spans="2:16" ht="4.5" customHeight="1">
      <c r="F28" s="4"/>
      <c r="G28" s="4"/>
      <c r="H28" s="4"/>
    </row>
    <row r="29" spans="2:16">
      <c r="B29" s="14" t="s">
        <v>190</v>
      </c>
      <c r="C29" t="s">
        <v>191</v>
      </c>
      <c r="E29" s="4" t="s">
        <v>192</v>
      </c>
      <c r="F29" s="63" t="s">
        <v>193</v>
      </c>
      <c r="G29" s="4">
        <f ca="1">+D12/(D11-D10)</f>
        <v>7.9999999999999991</v>
      </c>
      <c r="H29" t="s">
        <v>194</v>
      </c>
      <c r="I29" s="43" t="s">
        <v>195</v>
      </c>
    </row>
    <row r="30" spans="2:16">
      <c r="H30" s="43"/>
    </row>
    <row r="31" spans="2:16">
      <c r="D31" t="s">
        <v>196</v>
      </c>
      <c r="E31" s="4"/>
      <c r="F31" s="63" t="s">
        <v>197</v>
      </c>
      <c r="G31" s="73" t="s">
        <v>198</v>
      </c>
      <c r="H31" s="73" t="s">
        <v>199</v>
      </c>
      <c r="I31" s="66" t="s">
        <v>198</v>
      </c>
      <c r="J31">
        <f ca="1">+D11/(1+1/(E32*D11))</f>
        <v>0.17857142857142858</v>
      </c>
      <c r="K31" t="s">
        <v>200</v>
      </c>
    </row>
    <row r="32" spans="2:16">
      <c r="D32" t="s">
        <v>201</v>
      </c>
      <c r="E32" s="4">
        <v>10</v>
      </c>
      <c r="F32" s="77" t="s">
        <v>202</v>
      </c>
    </row>
    <row r="33" spans="4:11">
      <c r="F33" s="14"/>
      <c r="G33" s="78"/>
      <c r="I33" s="67" t="s">
        <v>198</v>
      </c>
      <c r="J33" s="75">
        <f ca="1">60*J31</f>
        <v>10.714285714285715</v>
      </c>
      <c r="K33" s="76" t="s">
        <v>203</v>
      </c>
    </row>
    <row r="34" spans="4:11">
      <c r="D34" s="64"/>
    </row>
    <row r="37" spans="4:11">
      <c r="H37" s="43"/>
    </row>
    <row r="41" spans="4:11">
      <c r="G41" s="43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"/>
  <sheetViews>
    <sheetView workbookViewId="0">
      <selection activeCell="P17" sqref="P17"/>
    </sheetView>
  </sheetViews>
  <sheetFormatPr baseColWidth="10" defaultRowHeight="15" outlineLevelCol="1"/>
  <cols>
    <col min="1" max="1" width="2.5703125" bestFit="1" customWidth="1"/>
    <col min="2" max="5" width="4.85546875" customWidth="1"/>
    <col min="6" max="8" width="10.85546875" hidden="1" customWidth="1" outlineLevel="1"/>
    <col min="9" max="9" width="6.5703125" customWidth="1" collapsed="1"/>
  </cols>
  <sheetData>
    <row r="2" spans="2:12">
      <c r="B2" s="53" t="s">
        <v>204</v>
      </c>
      <c r="C2" s="53" t="s">
        <v>205</v>
      </c>
      <c r="D2" s="53" t="s">
        <v>17</v>
      </c>
      <c r="F2" t="s">
        <v>206</v>
      </c>
      <c r="G2" t="s">
        <v>207</v>
      </c>
      <c r="H2" s="14"/>
      <c r="J2" s="53" t="s">
        <v>206</v>
      </c>
      <c r="K2" s="53" t="s">
        <v>208</v>
      </c>
      <c r="L2" s="53" t="s">
        <v>209</v>
      </c>
    </row>
    <row r="3" spans="2:12">
      <c r="B3" s="4" t="s">
        <v>205</v>
      </c>
      <c r="C3" s="4" t="s">
        <v>210</v>
      </c>
      <c r="D3" s="4">
        <v>20</v>
      </c>
      <c r="E3" s="4"/>
      <c r="F3" s="79" t="s">
        <v>205</v>
      </c>
      <c r="G3" s="79"/>
      <c r="H3" s="79">
        <v>0</v>
      </c>
      <c r="J3" s="80" t="s">
        <v>205</v>
      </c>
      <c r="K3" s="80" t="s">
        <v>211</v>
      </c>
      <c r="L3" s="80">
        <v>0</v>
      </c>
    </row>
    <row r="4" spans="2:12">
      <c r="B4" s="4" t="s">
        <v>205</v>
      </c>
      <c r="C4" s="4" t="s">
        <v>212</v>
      </c>
      <c r="D4" s="4">
        <v>30</v>
      </c>
      <c r="E4" s="4"/>
      <c r="F4" s="79" t="s">
        <v>212</v>
      </c>
      <c r="G4" s="79" t="s">
        <v>213</v>
      </c>
      <c r="H4" s="79">
        <f ca="1">+D4</f>
        <v>30</v>
      </c>
      <c r="J4" s="81" t="s">
        <v>212</v>
      </c>
      <c r="K4" s="81" t="s">
        <v>214</v>
      </c>
      <c r="L4" s="81">
        <f ca="1">+L3+D4</f>
        <v>30</v>
      </c>
    </row>
    <row r="5" spans="2:12">
      <c r="B5" s="4" t="s">
        <v>212</v>
      </c>
      <c r="C5" s="4" t="s">
        <v>210</v>
      </c>
      <c r="D5" s="4">
        <v>10</v>
      </c>
      <c r="E5" s="4"/>
      <c r="F5" s="14" t="s">
        <v>210</v>
      </c>
      <c r="G5" s="14" t="s">
        <v>215</v>
      </c>
      <c r="H5" s="14">
        <f ca="1">+D3</f>
        <v>20</v>
      </c>
      <c r="J5" s="53" t="s">
        <v>210</v>
      </c>
      <c r="K5" s="53" t="s">
        <v>216</v>
      </c>
      <c r="L5" s="53">
        <f ca="1">+L3+D3</f>
        <v>20</v>
      </c>
    </row>
    <row r="6" spans="2:12">
      <c r="B6" s="4" t="s">
        <v>210</v>
      </c>
      <c r="C6" s="4" t="s">
        <v>17</v>
      </c>
      <c r="D6" s="4">
        <v>70</v>
      </c>
      <c r="E6" s="4"/>
      <c r="F6" s="14"/>
      <c r="G6" s="82" t="s">
        <v>217</v>
      </c>
      <c r="H6" s="83">
        <f ca="1">+H4+D5</f>
        <v>40</v>
      </c>
      <c r="J6" s="4"/>
      <c r="K6" s="42" t="s">
        <v>218</v>
      </c>
      <c r="L6" s="42">
        <f ca="1">+L4+D5</f>
        <v>40</v>
      </c>
    </row>
    <row r="7" spans="2:12">
      <c r="B7" s="4" t="s">
        <v>210</v>
      </c>
      <c r="C7" s="4" t="s">
        <v>219</v>
      </c>
      <c r="D7" s="4">
        <v>50</v>
      </c>
      <c r="E7" s="4"/>
      <c r="F7" s="14" t="s">
        <v>17</v>
      </c>
      <c r="G7" s="82" t="s">
        <v>220</v>
      </c>
      <c r="H7" s="83">
        <f ca="1">+H5+D6</f>
        <v>90</v>
      </c>
      <c r="J7" s="53" t="s">
        <v>17</v>
      </c>
      <c r="K7" s="42" t="s">
        <v>221</v>
      </c>
      <c r="L7" s="42">
        <f ca="1">+L5+D6</f>
        <v>90</v>
      </c>
    </row>
    <row r="8" spans="2:12">
      <c r="B8" s="4" t="s">
        <v>212</v>
      </c>
      <c r="C8" s="4" t="s">
        <v>17</v>
      </c>
      <c r="D8" s="4">
        <v>10</v>
      </c>
      <c r="E8" s="4"/>
      <c r="F8" s="14"/>
      <c r="G8" s="14" t="s">
        <v>222</v>
      </c>
      <c r="H8" s="14">
        <f ca="1">+H4+D8</f>
        <v>40</v>
      </c>
      <c r="J8" s="4"/>
      <c r="K8" s="53" t="s">
        <v>223</v>
      </c>
      <c r="L8" s="53">
        <f ca="1">+L4+D8</f>
        <v>40</v>
      </c>
    </row>
    <row r="9" spans="2:12">
      <c r="B9" s="4" t="s">
        <v>212</v>
      </c>
      <c r="C9" s="4" t="s">
        <v>224</v>
      </c>
      <c r="D9" s="4">
        <v>10</v>
      </c>
      <c r="E9" s="4"/>
      <c r="F9" t="s">
        <v>219</v>
      </c>
      <c r="G9" s="82" t="s">
        <v>225</v>
      </c>
      <c r="H9" s="83">
        <f ca="1">+H5+D7</f>
        <v>70</v>
      </c>
      <c r="J9" s="53" t="s">
        <v>219</v>
      </c>
      <c r="K9" s="42" t="s">
        <v>226</v>
      </c>
      <c r="L9" s="42">
        <f ca="1">+L5+D7</f>
        <v>70</v>
      </c>
    </row>
    <row r="10" spans="2:12">
      <c r="B10" s="4" t="s">
        <v>17</v>
      </c>
      <c r="C10" s="4" t="s">
        <v>219</v>
      </c>
      <c r="D10" s="4">
        <v>20</v>
      </c>
      <c r="E10" s="4"/>
      <c r="G10" s="14" t="s">
        <v>227</v>
      </c>
      <c r="H10" s="14">
        <f ca="1">+H8+D10</f>
        <v>60</v>
      </c>
      <c r="J10" s="4"/>
      <c r="K10" s="53" t="s">
        <v>228</v>
      </c>
      <c r="L10" s="53">
        <f ca="1">+L8+D10</f>
        <v>60</v>
      </c>
    </row>
    <row r="11" spans="2:12">
      <c r="B11" s="4" t="s">
        <v>17</v>
      </c>
      <c r="C11" s="4" t="s">
        <v>224</v>
      </c>
      <c r="D11" s="4">
        <v>20</v>
      </c>
      <c r="E11" s="4"/>
      <c r="F11" s="79" t="s">
        <v>224</v>
      </c>
      <c r="G11" s="79" t="s">
        <v>229</v>
      </c>
      <c r="H11" s="79">
        <f ca="1">+H4+D9</f>
        <v>40</v>
      </c>
      <c r="J11" s="81" t="s">
        <v>224</v>
      </c>
      <c r="K11" s="42" t="s">
        <v>230</v>
      </c>
      <c r="L11" s="42">
        <f ca="1">+L8+D11</f>
        <v>60</v>
      </c>
    </row>
    <row r="12" spans="2:12">
      <c r="B12" s="4" t="s">
        <v>219</v>
      </c>
      <c r="C12" s="4" t="s">
        <v>231</v>
      </c>
      <c r="D12" s="4">
        <v>20</v>
      </c>
      <c r="E12" s="4"/>
      <c r="G12" s="82" t="s">
        <v>232</v>
      </c>
      <c r="H12" s="83">
        <f ca="1">+H8+D11</f>
        <v>60</v>
      </c>
      <c r="J12" s="4"/>
      <c r="K12" s="81" t="s">
        <v>233</v>
      </c>
      <c r="L12" s="81">
        <f ca="1">+L4+D9</f>
        <v>40</v>
      </c>
    </row>
    <row r="13" spans="2:12">
      <c r="B13" s="4" t="s">
        <v>17</v>
      </c>
      <c r="C13" s="4" t="s">
        <v>231</v>
      </c>
      <c r="D13" s="4">
        <v>40</v>
      </c>
      <c r="E13" s="4"/>
      <c r="F13" s="79" t="s">
        <v>231</v>
      </c>
      <c r="G13" t="s">
        <v>234</v>
      </c>
      <c r="H13">
        <f ca="1">+H10+D12</f>
        <v>80</v>
      </c>
      <c r="J13" s="81" t="s">
        <v>231</v>
      </c>
      <c r="K13" s="4" t="s">
        <v>235</v>
      </c>
      <c r="L13" s="4">
        <f ca="1">+L10+D12</f>
        <v>80</v>
      </c>
    </row>
    <row r="14" spans="2:12">
      <c r="B14" s="4" t="s">
        <v>224</v>
      </c>
      <c r="C14" s="4" t="s">
        <v>231</v>
      </c>
      <c r="D14" s="4">
        <v>20</v>
      </c>
      <c r="E14" s="4"/>
      <c r="G14" t="s">
        <v>236</v>
      </c>
      <c r="H14">
        <f ca="1">+H8+D13</f>
        <v>80</v>
      </c>
      <c r="J14" s="4"/>
      <c r="K14" s="4" t="s">
        <v>237</v>
      </c>
      <c r="L14" s="4">
        <f ca="1">+L8+D13</f>
        <v>80</v>
      </c>
    </row>
    <row r="15" spans="2:12">
      <c r="B15" s="4"/>
      <c r="C15" s="4"/>
      <c r="D15" s="4"/>
      <c r="E15" s="4"/>
      <c r="G15" s="84" t="s">
        <v>238</v>
      </c>
      <c r="H15" s="84">
        <f ca="1">+H11+D14</f>
        <v>60</v>
      </c>
      <c r="J15" s="4"/>
      <c r="K15" s="81" t="s">
        <v>239</v>
      </c>
      <c r="L15" s="81">
        <f ca="1">+L12+D14</f>
        <v>60</v>
      </c>
    </row>
    <row r="16" spans="2:12" ht="15.75" thickBot="1">
      <c r="B16" s="4"/>
      <c r="C16" s="4"/>
      <c r="D16" s="4"/>
      <c r="E16" s="4"/>
      <c r="J16" s="4"/>
      <c r="K16" s="4"/>
      <c r="L16" s="4"/>
    </row>
    <row r="17" spans="2:12">
      <c r="B17" s="4"/>
      <c r="C17" s="4"/>
      <c r="D17" s="4"/>
      <c r="E17" s="4"/>
      <c r="F17" s="85" t="s">
        <v>240</v>
      </c>
      <c r="G17" s="86"/>
      <c r="J17" s="87" t="s">
        <v>241</v>
      </c>
      <c r="K17" s="88" t="s">
        <v>242</v>
      </c>
      <c r="L17" s="89"/>
    </row>
    <row r="18" spans="2:12" ht="15.75" thickBot="1">
      <c r="B18" s="4"/>
      <c r="C18" s="4"/>
      <c r="D18" s="4"/>
      <c r="E18" s="4"/>
      <c r="F18" s="90" t="s">
        <v>209</v>
      </c>
      <c r="G18" s="91">
        <f ca="1">+H15</f>
        <v>60</v>
      </c>
      <c r="J18" s="90"/>
      <c r="K18" s="92" t="s">
        <v>243</v>
      </c>
      <c r="L18" s="93">
        <f ca="1">+D4+D14+D9</f>
        <v>60</v>
      </c>
    </row>
    <row r="19" spans="2:12">
      <c r="B19" s="4"/>
      <c r="C19" s="4"/>
      <c r="D19" s="4"/>
      <c r="E19" s="4"/>
      <c r="G19">
        <f ca="1">+D14+D9+D4</f>
        <v>60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zoomScale="85" zoomScaleNormal="85" workbookViewId="0">
      <selection activeCell="K2" sqref="K2:K19"/>
    </sheetView>
  </sheetViews>
  <sheetFormatPr baseColWidth="10" defaultRowHeight="15" outlineLevelCol="1"/>
  <cols>
    <col min="1" max="1" width="2.5703125" bestFit="1" customWidth="1"/>
    <col min="2" max="5" width="4.85546875" customWidth="1"/>
    <col min="6" max="6" width="15.140625" hidden="1" customWidth="1" outlineLevel="1"/>
    <col min="7" max="7" width="12.28515625" hidden="1" customWidth="1" outlineLevel="1"/>
    <col min="8" max="8" width="11.5703125" hidden="1" customWidth="1" outlineLevel="1"/>
    <col min="9" max="9" width="10.85546875" hidden="1" customWidth="1" outlineLevel="1"/>
    <col min="10" max="10" width="14.85546875" customWidth="1" collapsed="1"/>
  </cols>
  <sheetData>
    <row r="2" spans="1:11">
      <c r="J2" t="s">
        <v>244</v>
      </c>
      <c r="K2" t="s">
        <v>245</v>
      </c>
    </row>
    <row r="3" spans="1:11">
      <c r="B3" s="94" t="s">
        <v>205</v>
      </c>
      <c r="C3" s="94" t="s">
        <v>210</v>
      </c>
      <c r="D3" s="94">
        <v>40</v>
      </c>
      <c r="E3" s="4"/>
      <c r="F3" s="14" t="s">
        <v>246</v>
      </c>
      <c r="J3" t="s">
        <v>247</v>
      </c>
      <c r="K3" t="s">
        <v>248</v>
      </c>
    </row>
    <row r="4" spans="1:11">
      <c r="B4" s="94" t="s">
        <v>205</v>
      </c>
      <c r="C4" s="94" t="s">
        <v>212</v>
      </c>
      <c r="D4" s="94">
        <v>50</v>
      </c>
      <c r="E4" s="4"/>
      <c r="F4" t="s">
        <v>249</v>
      </c>
      <c r="J4" s="14" t="s">
        <v>250</v>
      </c>
      <c r="K4" s="14" t="s">
        <v>205</v>
      </c>
    </row>
    <row r="5" spans="1:11">
      <c r="A5">
        <v>1</v>
      </c>
      <c r="B5" s="95" t="s">
        <v>205</v>
      </c>
      <c r="C5" s="95" t="s">
        <v>17</v>
      </c>
      <c r="D5" s="95">
        <v>20</v>
      </c>
      <c r="E5" s="4"/>
      <c r="F5" t="s">
        <v>251</v>
      </c>
      <c r="J5" s="14" t="s">
        <v>252</v>
      </c>
      <c r="K5" s="14">
        <f ca="1">+D5</f>
        <v>20</v>
      </c>
    </row>
    <row r="6" spans="1:11">
      <c r="B6" s="94" t="s">
        <v>205</v>
      </c>
      <c r="C6" s="94" t="s">
        <v>219</v>
      </c>
      <c r="D6" s="94">
        <v>140</v>
      </c>
      <c r="E6" s="4"/>
      <c r="F6" s="14" t="s">
        <v>253</v>
      </c>
      <c r="G6" s="4" t="s">
        <v>254</v>
      </c>
      <c r="H6" s="4">
        <f ca="1">+D5</f>
        <v>20</v>
      </c>
      <c r="J6" t="s">
        <v>244</v>
      </c>
      <c r="K6" t="s">
        <v>255</v>
      </c>
    </row>
    <row r="7" spans="1:11">
      <c r="A7">
        <v>2</v>
      </c>
      <c r="B7" s="95" t="s">
        <v>205</v>
      </c>
      <c r="C7" s="95" t="s">
        <v>224</v>
      </c>
      <c r="D7" s="95">
        <v>20</v>
      </c>
      <c r="E7" s="4"/>
      <c r="F7" t="s">
        <v>256</v>
      </c>
      <c r="G7" s="4"/>
      <c r="H7" s="4"/>
      <c r="J7" t="s">
        <v>247</v>
      </c>
      <c r="K7" t="s">
        <v>257</v>
      </c>
    </row>
    <row r="8" spans="1:11">
      <c r="A8">
        <v>4</v>
      </c>
      <c r="B8" s="95" t="s">
        <v>210</v>
      </c>
      <c r="C8" s="95" t="s">
        <v>212</v>
      </c>
      <c r="D8" s="95">
        <v>30</v>
      </c>
      <c r="E8" s="4"/>
      <c r="F8" t="s">
        <v>258</v>
      </c>
      <c r="G8" s="4"/>
      <c r="H8" s="4"/>
      <c r="J8" s="14" t="s">
        <v>259</v>
      </c>
      <c r="K8" s="14">
        <f ca="1">+D7</f>
        <v>20</v>
      </c>
    </row>
    <row r="9" spans="1:11">
      <c r="B9" s="94" t="s">
        <v>210</v>
      </c>
      <c r="C9" s="94" t="s">
        <v>17</v>
      </c>
      <c r="D9" s="94">
        <v>50</v>
      </c>
      <c r="E9" s="4"/>
      <c r="F9" s="14" t="s">
        <v>260</v>
      </c>
      <c r="G9" s="4" t="s">
        <v>261</v>
      </c>
      <c r="H9" s="4">
        <f ca="1">+D7</f>
        <v>20</v>
      </c>
      <c r="J9" t="s">
        <v>244</v>
      </c>
      <c r="K9" t="s">
        <v>262</v>
      </c>
    </row>
    <row r="10" spans="1:11">
      <c r="A10">
        <v>5</v>
      </c>
      <c r="B10" s="95" t="s">
        <v>210</v>
      </c>
      <c r="C10" s="95" t="s">
        <v>219</v>
      </c>
      <c r="D10" s="95">
        <v>40</v>
      </c>
      <c r="E10" s="4"/>
      <c r="F10" t="s">
        <v>263</v>
      </c>
      <c r="G10" s="4"/>
      <c r="H10" s="4"/>
      <c r="J10" t="s">
        <v>247</v>
      </c>
      <c r="K10" t="s">
        <v>264</v>
      </c>
    </row>
    <row r="11" spans="1:11">
      <c r="A11">
        <v>3</v>
      </c>
      <c r="B11" s="95" t="s">
        <v>210</v>
      </c>
      <c r="C11" s="95" t="s">
        <v>224</v>
      </c>
      <c r="D11" s="95">
        <v>30</v>
      </c>
      <c r="E11" s="4"/>
      <c r="F11" t="s">
        <v>265</v>
      </c>
      <c r="G11" s="4"/>
      <c r="H11" s="4"/>
      <c r="J11" s="14" t="s">
        <v>266</v>
      </c>
      <c r="K11" s="14">
        <f ca="1">+D11</f>
        <v>30</v>
      </c>
    </row>
    <row r="12" spans="1:11">
      <c r="B12" s="94" t="s">
        <v>212</v>
      </c>
      <c r="C12" s="94" t="s">
        <v>17</v>
      </c>
      <c r="D12" s="94">
        <v>80</v>
      </c>
      <c r="E12" s="4"/>
      <c r="F12" s="14" t="s">
        <v>267</v>
      </c>
      <c r="G12" s="4" t="s">
        <v>268</v>
      </c>
      <c r="H12" s="4">
        <f ca="1">+D11</f>
        <v>30</v>
      </c>
      <c r="J12" t="s">
        <v>244</v>
      </c>
      <c r="K12" t="s">
        <v>269</v>
      </c>
    </row>
    <row r="13" spans="1:11">
      <c r="B13" s="94" t="s">
        <v>212</v>
      </c>
      <c r="C13" s="94" t="s">
        <v>219</v>
      </c>
      <c r="D13" s="94">
        <v>70</v>
      </c>
      <c r="E13" s="4"/>
      <c r="F13" t="s">
        <v>270</v>
      </c>
      <c r="G13" s="4"/>
      <c r="H13" s="4"/>
      <c r="J13" t="s">
        <v>247</v>
      </c>
      <c r="K13" t="s">
        <v>271</v>
      </c>
    </row>
    <row r="14" spans="1:11">
      <c r="B14" s="94" t="s">
        <v>212</v>
      </c>
      <c r="C14" s="94" t="s">
        <v>224</v>
      </c>
      <c r="D14" s="94">
        <v>50</v>
      </c>
      <c r="E14" s="4"/>
      <c r="F14" t="s">
        <v>272</v>
      </c>
      <c r="G14" s="4"/>
      <c r="H14" s="4"/>
      <c r="J14" s="14" t="s">
        <v>273</v>
      </c>
      <c r="K14" s="14">
        <f ca="1">+D8</f>
        <v>30</v>
      </c>
    </row>
    <row r="15" spans="1:11">
      <c r="B15" s="94" t="s">
        <v>17</v>
      </c>
      <c r="C15" s="94" t="s">
        <v>219</v>
      </c>
      <c r="D15" s="94">
        <v>110</v>
      </c>
      <c r="E15" s="4"/>
      <c r="F15" s="14" t="s">
        <v>274</v>
      </c>
      <c r="G15" s="4" t="s">
        <v>275</v>
      </c>
      <c r="H15" s="4">
        <f ca="1">+D8</f>
        <v>30</v>
      </c>
      <c r="J15" t="s">
        <v>244</v>
      </c>
      <c r="K15" t="s">
        <v>276</v>
      </c>
    </row>
    <row r="16" spans="1:11">
      <c r="B16" s="94" t="s">
        <v>17</v>
      </c>
      <c r="C16" s="94" t="s">
        <v>224</v>
      </c>
      <c r="D16" s="94">
        <v>90</v>
      </c>
      <c r="E16" s="4"/>
      <c r="F16" t="s">
        <v>277</v>
      </c>
      <c r="G16" s="4"/>
      <c r="H16" s="4"/>
      <c r="J16" t="s">
        <v>247</v>
      </c>
      <c r="K16" t="s">
        <v>219</v>
      </c>
    </row>
    <row r="17" spans="2:11">
      <c r="B17" s="94" t="s">
        <v>219</v>
      </c>
      <c r="C17" s="94" t="s">
        <v>224</v>
      </c>
      <c r="D17" s="94">
        <v>130</v>
      </c>
      <c r="E17" s="4"/>
      <c r="F17" t="s">
        <v>278</v>
      </c>
      <c r="G17" s="4"/>
      <c r="H17" s="4"/>
      <c r="J17" s="14" t="s">
        <v>279</v>
      </c>
      <c r="K17" s="14">
        <f ca="1">+D10</f>
        <v>40</v>
      </c>
    </row>
    <row r="18" spans="2:11">
      <c r="B18" s="4"/>
      <c r="C18" s="4"/>
      <c r="D18" s="4"/>
      <c r="E18" s="4"/>
      <c r="F18" s="14" t="s">
        <v>280</v>
      </c>
      <c r="G18" s="4" t="s">
        <v>281</v>
      </c>
      <c r="H18" s="4">
        <f ca="1">+D10</f>
        <v>40</v>
      </c>
    </row>
    <row r="19" spans="2:11">
      <c r="B19" s="4"/>
      <c r="C19" s="4"/>
      <c r="D19" s="4"/>
      <c r="E19" s="4"/>
      <c r="F19" t="s">
        <v>282</v>
      </c>
      <c r="G19" s="4"/>
      <c r="H19" s="4"/>
      <c r="J19" s="96" t="s">
        <v>283</v>
      </c>
      <c r="K19" s="96">
        <f ca="1">+K17+K14+K11+K8+K5</f>
        <v>140</v>
      </c>
    </row>
    <row r="20" spans="2:11">
      <c r="B20" s="4"/>
      <c r="C20" s="4"/>
      <c r="D20" s="4"/>
      <c r="F20" t="s">
        <v>284</v>
      </c>
    </row>
    <row r="21" spans="2:11" ht="15.75" thickBot="1">
      <c r="B21" s="4"/>
      <c r="C21" s="4"/>
      <c r="D21" s="4"/>
    </row>
    <row r="22" spans="2:11">
      <c r="F22" s="85" t="s">
        <v>285</v>
      </c>
      <c r="G22" s="97"/>
      <c r="H22" s="89">
        <f ca="1">+SUM(H6:H18)</f>
        <v>140</v>
      </c>
    </row>
    <row r="23" spans="2:11" ht="15.75" thickBot="1">
      <c r="F23" s="90" t="s">
        <v>286</v>
      </c>
      <c r="G23" s="98"/>
      <c r="H23" s="9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CEP Mono</vt:lpstr>
      <vt:lpstr>CEP Faltante</vt:lpstr>
      <vt:lpstr>CEP Desc</vt:lpstr>
      <vt:lpstr>CEP Prod</vt:lpstr>
      <vt:lpstr>Juegos</vt:lpstr>
      <vt:lpstr>Markov</vt:lpstr>
      <vt:lpstr>Colas</vt:lpstr>
      <vt:lpstr>Rut Min</vt:lpstr>
      <vt:lpstr>Ext Min</vt:lpstr>
      <vt:lpstr>Flujo</vt:lpstr>
      <vt:lpstr>Simulación</vt:lpstr>
    </vt:vector>
  </TitlesOfParts>
  <Company>Daimler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Giorgi, Pablo (155)</dc:creator>
  <cp:lastModifiedBy>De Giorgi, Pablo (155)</cp:lastModifiedBy>
  <dcterms:created xsi:type="dcterms:W3CDTF">2024-06-29T19:19:42Z</dcterms:created>
  <dcterms:modified xsi:type="dcterms:W3CDTF">2024-07-01T23:50:10Z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2024-06-29T19:19:43Z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add65a73-4d24-41ee-bbc5-e3d52f73d519</vt:lpwstr>
  </property>
  <property fmtid="{D5CDD505-2E9C-101B-9397-08002B2CF9AE}" pid="8" name="MSIP_Label_924dbb1d-991d-4bbd-aad5-33bac1d8ffaf_ContentBits">
    <vt:lpwstr>0</vt:lpwstr>
  </property>
  <property fmtid="{D5CDD505-2E9C-101B-9397-08002B2CF9AE}" pid="9" name="state">
    <vt:lpwstr>zgs</vt:lpwstr>
  </property>
  <property fmtid="{D5CDD505-2E9C-101B-9397-08002B2CF9AE}" pid="10" name="version">
    <vt:lpwstr/>
  </property>
  <property fmtid="{D5CDD505-2E9C-101B-9397-08002B2CF9AE}" pid="11" name="zgs">
    <vt:lpwstr/>
  </property>
  <property fmtid="{D5CDD505-2E9C-101B-9397-08002B2CF9AE}" pid="12" name="revision">
    <vt:lpwstr/>
  </property>
  <property fmtid="{D5CDD505-2E9C-101B-9397-08002B2CF9AE}" pid="13" name="sequence">
    <vt:lpwstr/>
  </property>
</Properties>
</file>