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" windowWidth="15200" windowHeight="8450" firstSheet="6" activeTab="6"/>
  </bookViews>
  <sheets>
    <sheet name="min con lambda (2)" sheetId="1" r:id="rId1"/>
    <sheet name="max con lambda" sheetId="2" r:id="rId2"/>
    <sheet name="original" sheetId="3" r:id="rId3"/>
    <sheet name="Informe de respuestas 1" sheetId="4" r:id="rId4"/>
    <sheet name="Informe de sensibilidad 1" sheetId="5" r:id="rId5"/>
    <sheet name="Informe de límites 1" sheetId="6" r:id="rId6"/>
    <sheet name="Graf Bicicletas" sheetId="7" r:id="rId7"/>
    <sheet name="Informe de respuestas 2" sheetId="8" r:id="rId8"/>
    <sheet name="Informe de sensibilidad 2" sheetId="9" r:id="rId9"/>
    <sheet name="Informe de límites 2" sheetId="10" r:id="rId10"/>
    <sheet name="Fertilizantes" sheetId="11" r:id="rId11"/>
  </sheets>
  <definedNames>
    <definedName name="solver_adj" localSheetId="10" hidden="1">'Fertilizantes'!$AW$93:$AX$93</definedName>
    <definedName name="solver_adj" localSheetId="6" hidden="1">'Graf Bicicletas'!$AH$108:$AI$108</definedName>
    <definedName name="solver_adj" localSheetId="0" hidden="1">'min con lambda (2)'!$Q$16:$R$16</definedName>
    <definedName name="solver_cvg" localSheetId="10" hidden="1">0.0001</definedName>
    <definedName name="solver_cvg" localSheetId="6" hidden="1">0.0001</definedName>
    <definedName name="solver_cvg" localSheetId="0" hidden="1">0.0001</definedName>
    <definedName name="solver_drv" localSheetId="10" hidden="1">1</definedName>
    <definedName name="solver_drv" localSheetId="6" hidden="1">1</definedName>
    <definedName name="solver_drv" localSheetId="0" hidden="1">1</definedName>
    <definedName name="solver_eng" localSheetId="10" hidden="1">2</definedName>
    <definedName name="solver_eng" localSheetId="6" hidden="1">2</definedName>
    <definedName name="solver_eng" localSheetId="0" hidden="1">2</definedName>
    <definedName name="solver_est" localSheetId="10" hidden="1">1</definedName>
    <definedName name="solver_est" localSheetId="6" hidden="1">1</definedName>
    <definedName name="solver_est" localSheetId="0" hidden="1">1</definedName>
    <definedName name="solver_itr" localSheetId="10" hidden="1">2147483647</definedName>
    <definedName name="solver_itr" localSheetId="6" hidden="1">2147483647</definedName>
    <definedName name="solver_itr" localSheetId="0" hidden="1">2147483647</definedName>
    <definedName name="solver_lhs1" localSheetId="10" hidden="1">'Fertilizantes'!$AW$93:$AX$93</definedName>
    <definedName name="solver_lhs1" localSheetId="6" hidden="1">'Graf Bicicletas'!$AH$108:$AI$108</definedName>
    <definedName name="solver_lhs1" localSheetId="0" hidden="1">'min con lambda (2)'!$Q$16:$R$16</definedName>
    <definedName name="solver_lhs2" localSheetId="10" hidden="1">'Fertilizantes'!$AX$100</definedName>
    <definedName name="solver_lhs2" localSheetId="6" hidden="1">'Graf Bicicletas'!$AI$115</definedName>
    <definedName name="solver_lhs2" localSheetId="0" hidden="1">'min con lambda (2)'!$S$20</definedName>
    <definedName name="solver_lhs3" localSheetId="10" hidden="1">'Fertilizantes'!$AX$101</definedName>
    <definedName name="solver_lhs3" localSheetId="6" hidden="1">'Graf Bicicletas'!$AI$116</definedName>
    <definedName name="solver_lhs3" localSheetId="0" hidden="1">'min con lambda (2)'!$S$21</definedName>
    <definedName name="solver_lhs4" localSheetId="10" hidden="1">'Fertilizantes'!$AX$102</definedName>
    <definedName name="solver_lhs4" localSheetId="6" hidden="1">'Graf Bicicletas'!$AI$117</definedName>
    <definedName name="solver_lhs4" localSheetId="0" hidden="1">'min con lambda (2)'!$S$22</definedName>
    <definedName name="solver_lhs5" localSheetId="0" hidden="1">'min con lambda (2)'!$S$23</definedName>
    <definedName name="solver_mip" localSheetId="10" hidden="1">2147483647</definedName>
    <definedName name="solver_mip" localSheetId="6" hidden="1">2147483647</definedName>
    <definedName name="solver_mip" localSheetId="0" hidden="1">2147483647</definedName>
    <definedName name="solver_mni" localSheetId="10" hidden="1">30</definedName>
    <definedName name="solver_mni" localSheetId="6" hidden="1">30</definedName>
    <definedName name="solver_mni" localSheetId="0" hidden="1">30</definedName>
    <definedName name="solver_mrt" localSheetId="10" hidden="1">0.075</definedName>
    <definedName name="solver_mrt" localSheetId="6" hidden="1">0.075</definedName>
    <definedName name="solver_mrt" localSheetId="0" hidden="1">0.075</definedName>
    <definedName name="solver_msl" localSheetId="10" hidden="1">2</definedName>
    <definedName name="solver_msl" localSheetId="6" hidden="1">2</definedName>
    <definedName name="solver_msl" localSheetId="0" hidden="1">2</definedName>
    <definedName name="solver_neg" localSheetId="10" hidden="1">1</definedName>
    <definedName name="solver_neg" localSheetId="6" hidden="1">1</definedName>
    <definedName name="solver_neg" localSheetId="0" hidden="1">1</definedName>
    <definedName name="solver_nod" localSheetId="10" hidden="1">2147483647</definedName>
    <definedName name="solver_nod" localSheetId="6" hidden="1">2147483647</definedName>
    <definedName name="solver_nod" localSheetId="0" hidden="1">2147483647</definedName>
    <definedName name="solver_num" localSheetId="10" hidden="1">4</definedName>
    <definedName name="solver_num" localSheetId="6" hidden="1">4</definedName>
    <definedName name="solver_num" localSheetId="0" hidden="1">5</definedName>
    <definedName name="solver_nwt" localSheetId="10" hidden="1">1</definedName>
    <definedName name="solver_nwt" localSheetId="6" hidden="1">1</definedName>
    <definedName name="solver_nwt" localSheetId="0" hidden="1">1</definedName>
    <definedName name="solver_opt" localSheetId="10" hidden="1">'Fertilizantes'!$AW$95</definedName>
    <definedName name="solver_opt" localSheetId="6" hidden="1">'Graf Bicicletas'!$AH$110</definedName>
    <definedName name="solver_opt" localSheetId="0" hidden="1">'min con lambda (2)'!$S$16</definedName>
    <definedName name="solver_pre" localSheetId="10" hidden="1">0.000001</definedName>
    <definedName name="solver_pre" localSheetId="6" hidden="1">0.000001</definedName>
    <definedName name="solver_pre" localSheetId="0" hidden="1">0.000001</definedName>
    <definedName name="solver_rbv" localSheetId="10" hidden="1">1</definedName>
    <definedName name="solver_rbv" localSheetId="6" hidden="1">1</definedName>
    <definedName name="solver_rbv" localSheetId="0" hidden="1">1</definedName>
    <definedName name="solver_rel1" localSheetId="10" hidden="1">3</definedName>
    <definedName name="solver_rel1" localSheetId="6" hidden="1">3</definedName>
    <definedName name="solver_rel1" localSheetId="0" hidden="1">3</definedName>
    <definedName name="solver_rel2" localSheetId="10" hidden="1">1</definedName>
    <definedName name="solver_rel2" localSheetId="6" hidden="1">1</definedName>
    <definedName name="solver_rel2" localSheetId="0" hidden="1">1</definedName>
    <definedName name="solver_rel3" localSheetId="10" hidden="1">1</definedName>
    <definedName name="solver_rel3" localSheetId="6" hidden="1">1</definedName>
    <definedName name="solver_rel3" localSheetId="0" hidden="1">1</definedName>
    <definedName name="solver_rel4" localSheetId="10" hidden="1">1</definedName>
    <definedName name="solver_rel4" localSheetId="6" hidden="1">1</definedName>
    <definedName name="solver_rel4" localSheetId="0" hidden="1">1</definedName>
    <definedName name="solver_rel5" localSheetId="0" hidden="1">3</definedName>
    <definedName name="solver_rhs1" localSheetId="10" hidden="1">0</definedName>
    <definedName name="solver_rhs1" localSheetId="6" hidden="1">0</definedName>
    <definedName name="solver_rhs1" localSheetId="0" hidden="1">0</definedName>
    <definedName name="solver_rhs2" localSheetId="10" hidden="1">'Fertilizantes'!$AZ$100</definedName>
    <definedName name="solver_rhs2" localSheetId="6" hidden="1">'Graf Bicicletas'!$AK$115</definedName>
    <definedName name="solver_rhs2" localSheetId="0" hidden="1">'min con lambda (2)'!$U$20</definedName>
    <definedName name="solver_rhs3" localSheetId="10" hidden="1">'Fertilizantes'!$AZ$101</definedName>
    <definedName name="solver_rhs3" localSheetId="6" hidden="1">'Graf Bicicletas'!$AK$116</definedName>
    <definedName name="solver_rhs3" localSheetId="0" hidden="1">'min con lambda (2)'!$U$21</definedName>
    <definedName name="solver_rhs4" localSheetId="10" hidden="1">'Fertilizantes'!$AZ$102</definedName>
    <definedName name="solver_rhs4" localSheetId="6" hidden="1">'Graf Bicicletas'!$AK$117</definedName>
    <definedName name="solver_rhs4" localSheetId="0" hidden="1">'min con lambda (2)'!$U$22</definedName>
    <definedName name="solver_rhs5" localSheetId="0" hidden="1">'min con lambda (2)'!$U$23</definedName>
    <definedName name="solver_rlx" localSheetId="10" hidden="1">2</definedName>
    <definedName name="solver_rlx" localSheetId="6" hidden="1">2</definedName>
    <definedName name="solver_rlx" localSheetId="0" hidden="1">2</definedName>
    <definedName name="solver_rsd" localSheetId="10" hidden="1">0</definedName>
    <definedName name="solver_rsd" localSheetId="6" hidden="1">0</definedName>
    <definedName name="solver_rsd" localSheetId="0" hidden="1">0</definedName>
    <definedName name="solver_scl" localSheetId="10" hidden="1">1</definedName>
    <definedName name="solver_scl" localSheetId="6" hidden="1">1</definedName>
    <definedName name="solver_scl" localSheetId="0" hidden="1">1</definedName>
    <definedName name="solver_sho" localSheetId="10" hidden="1">2</definedName>
    <definedName name="solver_sho" localSheetId="6" hidden="1">2</definedName>
    <definedName name="solver_sho" localSheetId="5" hidden="1">2</definedName>
    <definedName name="solver_sho" localSheetId="9" hidden="1">2</definedName>
    <definedName name="solver_sho" localSheetId="0" hidden="1">2</definedName>
    <definedName name="solver_ssz" localSheetId="10" hidden="1">100</definedName>
    <definedName name="solver_ssz" localSheetId="6" hidden="1">100</definedName>
    <definedName name="solver_ssz" localSheetId="0" hidden="1">100</definedName>
    <definedName name="solver_tim" localSheetId="10" hidden="1">2147483647</definedName>
    <definedName name="solver_tim" localSheetId="6" hidden="1">2147483647</definedName>
    <definedName name="solver_tim" localSheetId="0" hidden="1">2147483647</definedName>
    <definedName name="solver_tol" localSheetId="10" hidden="1">0.01</definedName>
    <definedName name="solver_tol" localSheetId="6" hidden="1">0.01</definedName>
    <definedName name="solver_tol" localSheetId="0" hidden="1">0.01</definedName>
    <definedName name="solver_typ" localSheetId="10" hidden="1">1</definedName>
    <definedName name="solver_typ" localSheetId="6" hidden="1">1</definedName>
    <definedName name="solver_typ" localSheetId="0" hidden="1">1</definedName>
    <definedName name="solver_val" localSheetId="10" hidden="1">0</definedName>
    <definedName name="solver_val" localSheetId="6" hidden="1">0</definedName>
    <definedName name="solver_val" localSheetId="0" hidden="1">0</definedName>
    <definedName name="solver_ver" localSheetId="10" hidden="1">3</definedName>
    <definedName name="solver_ver" localSheetId="6" hidden="1">3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<sst xmlns="http://schemas.openxmlformats.org/spreadsheetml/2006/main" count="928" uniqueCount="222">
  <si>
    <t>x1</t>
  </si>
  <si>
    <t>x2</t>
  </si>
  <si>
    <t>x3</t>
  </si>
  <si>
    <t>x4</t>
  </si>
  <si>
    <t>x5</t>
  </si>
  <si>
    <t>bk</t>
  </si>
  <si>
    <t>ck</t>
  </si>
  <si>
    <t>xk</t>
  </si>
  <si>
    <t>cj</t>
  </si>
  <si>
    <t>zj</t>
  </si>
  <si>
    <t>zj-cj</t>
  </si>
  <si>
    <t>tita</t>
  </si>
  <si>
    <t>X1</t>
  </si>
  <si>
    <t>X2</t>
  </si>
  <si>
    <t>x6</t>
  </si>
  <si>
    <t>l1</t>
  </si>
  <si>
    <t>cj-zj</t>
  </si>
  <si>
    <t>MENOR</t>
  </si>
  <si>
    <t>MAYOR</t>
  </si>
  <si>
    <t>Menor</t>
  </si>
  <si>
    <t>R1</t>
  </si>
  <si>
    <t>R2</t>
  </si>
  <si>
    <t>0,05 X1+0,05X2</t>
  </si>
  <si>
    <t>0,05x1 + 0,1x2</t>
  </si>
  <si>
    <t>0,1X1 + 0,05 X2</t>
  </si>
  <si>
    <t>Cj</t>
  </si>
  <si>
    <t>Variables</t>
  </si>
  <si>
    <t>r2</t>
  </si>
  <si>
    <t>r3</t>
  </si>
  <si>
    <t>A</t>
  </si>
  <si>
    <t>B</t>
  </si>
  <si>
    <t>C</t>
  </si>
  <si>
    <t>D</t>
  </si>
  <si>
    <t>(0,0)</t>
  </si>
  <si>
    <t>(0;4)</t>
  </si>
  <si>
    <t>(3;1)</t>
  </si>
  <si>
    <t>(3,5;0)</t>
  </si>
  <si>
    <t>Z</t>
  </si>
  <si>
    <t>R3</t>
  </si>
  <si>
    <t>17 + x3</t>
  </si>
  <si>
    <t>menor</t>
  </si>
  <si>
    <t>r1</t>
  </si>
  <si>
    <t>E</t>
  </si>
  <si>
    <t>-18,5/20</t>
  </si>
  <si>
    <t>(0;0)</t>
  </si>
  <si>
    <t>(0;18)</t>
  </si>
  <si>
    <t>c</t>
  </si>
  <si>
    <t>(8;14)</t>
  </si>
  <si>
    <t>(18;4)</t>
  </si>
  <si>
    <t>(20;0)</t>
  </si>
  <si>
    <t>z</t>
  </si>
  <si>
    <t>Tn X1</t>
  </si>
  <si>
    <t>Tn X2</t>
  </si>
  <si>
    <t xml:space="preserve">12x1 +6X2 </t>
  </si>
  <si>
    <t>-12*X1/6</t>
  </si>
  <si>
    <t>9X1 + 9x2</t>
  </si>
  <si>
    <t>-9X1/9</t>
  </si>
  <si>
    <t>-18,5/20*X1</t>
  </si>
  <si>
    <t>-C1/C2</t>
  </si>
  <si>
    <t>Menor Igual</t>
  </si>
  <si>
    <t>Pendiente R2</t>
  </si>
  <si>
    <t>Mayor Igual</t>
  </si>
  <si>
    <t>Pendiente R1</t>
  </si>
  <si>
    <t>Vario C1 Y C2 Cte</t>
  </si>
  <si>
    <t>&gt;=</t>
  </si>
  <si>
    <r>
      <rPr>
        <sz val="10"/>
        <rFont val="Arial"/>
        <family val="2"/>
      </rPr>
      <t>˂</t>
    </r>
    <r>
      <rPr>
        <sz val="10"/>
        <rFont val="Symbol"/>
        <family val="1"/>
      </rPr>
      <t>=</t>
    </r>
  </si>
  <si>
    <t>-C1/20</t>
  </si>
  <si>
    <t>-C1</t>
  </si>
  <si>
    <t>C1</t>
  </si>
  <si>
    <t>x1= 8 y x2=14</t>
  </si>
  <si>
    <t>-C2/C1</t>
  </si>
  <si>
    <t>Cte C1</t>
  </si>
  <si>
    <t>-C2/18,5</t>
  </si>
  <si>
    <t>-C2</t>
  </si>
  <si>
    <t>C2</t>
  </si>
  <si>
    <t>TIP</t>
  </si>
  <si>
    <t>X3</t>
  </si>
  <si>
    <t>X4</t>
  </si>
  <si>
    <t>X5</t>
  </si>
  <si>
    <t>ZJ</t>
  </si>
  <si>
    <t>ZJ-CJ</t>
  </si>
  <si>
    <t>x1=0</t>
  </si>
  <si>
    <t>x2=0</t>
  </si>
  <si>
    <t>x3=52,8</t>
  </si>
  <si>
    <t>x4=42</t>
  </si>
  <si>
    <t>x5=36</t>
  </si>
  <si>
    <t>x1=14</t>
  </si>
  <si>
    <t>x3=42,3</t>
  </si>
  <si>
    <t>x4=0</t>
  </si>
  <si>
    <t>x5=4,5</t>
  </si>
  <si>
    <t>x1=3</t>
  </si>
  <si>
    <t>x2=1</t>
  </si>
  <si>
    <t>x3=35,8</t>
  </si>
  <si>
    <t>x5=0</t>
  </si>
  <si>
    <t>0,05 X1+0,05X2 + x3</t>
  </si>
  <si>
    <t>=</t>
  </si>
  <si>
    <t>0,05x1 + 0,1x2 + x4</t>
  </si>
  <si>
    <t>0,1X1 + 0,05 X2 + x5</t>
  </si>
  <si>
    <t>TOP</t>
  </si>
  <si>
    <t>Z max 18,5 x1 + 20 x2 + 0X3 +0X4+0X5</t>
  </si>
  <si>
    <t>x1= 0</t>
  </si>
  <si>
    <t>x3=1100</t>
  </si>
  <si>
    <t xml:space="preserve">x4=1800 </t>
  </si>
  <si>
    <t>x5=2000</t>
  </si>
  <si>
    <t>x2=18000</t>
  </si>
  <si>
    <t>x3=200</t>
  </si>
  <si>
    <t>x5=110</t>
  </si>
  <si>
    <t>x1= 8000</t>
  </si>
  <si>
    <t>x2=14000</t>
  </si>
  <si>
    <t>x3=0</t>
  </si>
  <si>
    <t>x5=500</t>
  </si>
  <si>
    <t>Bicicleta del tipo C</t>
  </si>
  <si>
    <t>Xnueva</t>
  </si>
  <si>
    <t xml:space="preserve">Xnueva = Cantidad de Bicicletas del tipo C </t>
  </si>
  <si>
    <t>Cual debería ser la CM para fabricarla</t>
  </si>
  <si>
    <t>aij son = 1</t>
  </si>
  <si>
    <t>x</t>
  </si>
  <si>
    <t>Mayor 0,39</t>
  </si>
  <si>
    <t>Nuevo Fertilizando</t>
  </si>
  <si>
    <t>XF</t>
  </si>
  <si>
    <t>CM 10 $/ Tn fetilizante C</t>
  </si>
  <si>
    <t>X</t>
  </si>
  <si>
    <t>CJ</t>
  </si>
  <si>
    <t>Z max</t>
  </si>
  <si>
    <t>Microsoft Excel 16.0 Informe de respuestas</t>
  </si>
  <si>
    <t>Hoja de cálculo: [Ejercicio Bicicletas.xls]Graf Bicicletas</t>
  </si>
  <si>
    <t>Informe creado: 28/9/2020 20:10:06</t>
  </si>
  <si>
    <t>Resultado: Solver encontró una solución. Se cumplen todas las restricciones y condiciones óptimas.</t>
  </si>
  <si>
    <t>Motor de Solver</t>
  </si>
  <si>
    <t>Motor: Simplex LP</t>
  </si>
  <si>
    <t>Tiempo de la solución: 0,031 segundos.</t>
  </si>
  <si>
    <t>Iteraciones: 2 Subproblemas: 0</t>
  </si>
  <si>
    <t>Opciones de Solver</t>
  </si>
  <si>
    <t>Tiempo máximo Ilimitado,  Iteraciones Ilimitado, Precision 0,000001, Usar escala automática</t>
  </si>
  <si>
    <t>Máximo de subproblemas Ilimitado, Máximo de soluciones de enteros Ilimitado, Tolerancia de enteros 1%, Asumir no negativo</t>
  </si>
  <si>
    <t>Celda objetivo (Máx)</t>
  </si>
  <si>
    <t>Celda</t>
  </si>
  <si>
    <t>Nombre</t>
  </si>
  <si>
    <t>Valor original</t>
  </si>
  <si>
    <t>Valor final</t>
  </si>
  <si>
    <t>Celdas de variables</t>
  </si>
  <si>
    <t>Entero</t>
  </si>
  <si>
    <t>Restricciones</t>
  </si>
  <si>
    <t>Valor de la celda</t>
  </si>
  <si>
    <t>Fórmula</t>
  </si>
  <si>
    <t>Estado</t>
  </si>
  <si>
    <t>Demora</t>
  </si>
  <si>
    <t>$AH$110</t>
  </si>
  <si>
    <t>Z max x1</t>
  </si>
  <si>
    <t>$AH$108</t>
  </si>
  <si>
    <t>Continuar</t>
  </si>
  <si>
    <t>$AI$108</t>
  </si>
  <si>
    <t>$AI$115</t>
  </si>
  <si>
    <t>$AI$115&lt;=$AK$115</t>
  </si>
  <si>
    <t>No vinculante</t>
  </si>
  <si>
    <t>$AI$116</t>
  </si>
  <si>
    <t>$AI$116&lt;=$AK$116</t>
  </si>
  <si>
    <t>Vinculante</t>
  </si>
  <si>
    <t>$AI$117</t>
  </si>
  <si>
    <t>$AI$117&lt;=$AK$117</t>
  </si>
  <si>
    <t>$AH$108&gt;=0</t>
  </si>
  <si>
    <t>$AI$108&gt;=0</t>
  </si>
  <si>
    <t>Microsoft Excel 16.0 Informe de sensibilidad</t>
  </si>
  <si>
    <t>Final</t>
  </si>
  <si>
    <t>Valor</t>
  </si>
  <si>
    <t>Reducido</t>
  </si>
  <si>
    <t>Coste</t>
  </si>
  <si>
    <t>Objetivo</t>
  </si>
  <si>
    <t>Coeficiente</t>
  </si>
  <si>
    <t>Permisible</t>
  </si>
  <si>
    <t>Aumentar</t>
  </si>
  <si>
    <t>Reducir</t>
  </si>
  <si>
    <t>Sombra</t>
  </si>
  <si>
    <t>Precio</t>
  </si>
  <si>
    <t>Restricción</t>
  </si>
  <si>
    <t>Lado derecho</t>
  </si>
  <si>
    <t>Microsoft Excel 16.0 Informe de límites</t>
  </si>
  <si>
    <t>Variable</t>
  </si>
  <si>
    <t>Inferior</t>
  </si>
  <si>
    <t>Límite</t>
  </si>
  <si>
    <t>Resultado</t>
  </si>
  <si>
    <t>Superior</t>
  </si>
  <si>
    <t>c2</t>
  </si>
  <si>
    <t>Zmax</t>
  </si>
  <si>
    <t>Hoja de cálculo: [Ejercicio Bicicletas.xls]Fertilizantes</t>
  </si>
  <si>
    <t>Informe creado: 28/9/2020 20:21:48</t>
  </si>
  <si>
    <t>$AW$95</t>
  </si>
  <si>
    <t>Zmax X1</t>
  </si>
  <si>
    <t>$AW$93</t>
  </si>
  <si>
    <t>$AX$93</t>
  </si>
  <si>
    <t>$AX$100</t>
  </si>
  <si>
    <t>$AX$100&lt;=$AZ$100</t>
  </si>
  <si>
    <t>$AX$101</t>
  </si>
  <si>
    <t>$AX$101&lt;=$AZ$101</t>
  </si>
  <si>
    <t>$AX$102</t>
  </si>
  <si>
    <t>$AX$102&lt;=$AZ$102</t>
  </si>
  <si>
    <t>$AW$93&gt;=0</t>
  </si>
  <si>
    <t>$AX$93&gt;=0</t>
  </si>
  <si>
    <t xml:space="preserve">PRIMAL </t>
  </si>
  <si>
    <t>DUAL</t>
  </si>
  <si>
    <t>Y1</t>
  </si>
  <si>
    <t>Y2</t>
  </si>
  <si>
    <t>Y3</t>
  </si>
  <si>
    <t>Wmin</t>
  </si>
  <si>
    <t>1100Y1 + 1800Y2+2000Y3</t>
  </si>
  <si>
    <r>
      <rPr>
        <sz val="10"/>
        <rFont val="Calibri"/>
        <family val="2"/>
      </rPr>
      <t>&gt;</t>
    </r>
    <r>
      <rPr>
        <sz val="10"/>
        <rFont val="Symbol"/>
        <family val="1"/>
      </rPr>
      <t>=</t>
    </r>
  </si>
  <si>
    <t>0,05Y1+0,05Y2+0,1Y3</t>
  </si>
  <si>
    <t>0,05Y1+0,1Y2+0,05Y3</t>
  </si>
  <si>
    <t>1100Y1 - 1800Y2+2000Y3</t>
  </si>
  <si>
    <t>0,05Y1-0,05Y2+0,1Y3</t>
  </si>
  <si>
    <t>0,05Y1-0,1Y2+0,05Y3</t>
  </si>
  <si>
    <t>PRIMAL</t>
  </si>
  <si>
    <t>y1</t>
  </si>
  <si>
    <t>y2</t>
  </si>
  <si>
    <t>y3</t>
  </si>
  <si>
    <t>52,8Y1+42Y2+36Y3</t>
  </si>
  <si>
    <t>3Y1+12Y2+9Y3</t>
  </si>
  <si>
    <t>8Y1+6Y2+9Y3</t>
  </si>
  <si>
    <t>Y1, Y2,Y3 MAYOR IGUAL A CERO</t>
  </si>
  <si>
    <t>3Y1+9Y3</t>
  </si>
  <si>
    <t>52,8Y1-42Y2+36Y3</t>
  </si>
  <si>
    <t>8Y1-6Y2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</si>
</sst>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_ * #,##0.0_ ;_ * \-#,##0.0_ ;_ * &quot;-&quot;??_ ;_ @_ "/>
    <numFmt numFmtId="174" formatCode="_ * #,##0_ ;_ * \-#,##0_ ;_ * &quot;-&quot;??_ ;_ @_ "/>
  </numFmts>
  <fonts count="44">
    <font>
      <sz val="10"/>
      <name val="Arial"/>
      <family val="0"/>
    </font>
    <font>
      <sz val="10"/>
      <name val="Calibri"/>
      <family val="2"/>
    </font>
    <font>
      <sz val="10"/>
      <name val="Symbol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8"/>
      <color indexed="8"/>
      <name val="Calibri"/>
      <family val="2"/>
    </font>
    <font>
      <sz val="18"/>
      <color indexed="8"/>
      <name val="Arial"/>
      <family val="2"/>
    </font>
    <font>
      <sz val="18"/>
      <color indexed="10"/>
      <name val="Calibri"/>
      <family val="2"/>
    </font>
    <font>
      <sz val="18"/>
      <color indexed="54"/>
      <name val="Calibri"/>
      <family val="2"/>
    </font>
    <font>
      <sz val="18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15" borderId="10" xfId="0" applyFill="1" applyBorder="1" applyAlignment="1">
      <alignment/>
    </xf>
    <xf numFmtId="0" fontId="0" fillId="15" borderId="0" xfId="0" applyFill="1" applyAlignment="1">
      <alignment/>
    </xf>
    <xf numFmtId="0" fontId="0" fillId="1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0" fillId="35" borderId="1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0" xfId="0" applyFill="1" applyAlignment="1">
      <alignment/>
    </xf>
    <xf numFmtId="0" fontId="0" fillId="36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0" xfId="0" applyFill="1" applyAlignment="1">
      <alignment/>
    </xf>
    <xf numFmtId="0" fontId="0" fillId="37" borderId="10" xfId="0" applyFont="1" applyFill="1" applyBorder="1" applyAlignment="1">
      <alignment/>
    </xf>
    <xf numFmtId="0" fontId="0" fillId="38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left"/>
    </xf>
    <xf numFmtId="0" fontId="0" fillId="0" borderId="17" xfId="0" applyBorder="1" applyAlignment="1">
      <alignment/>
    </xf>
    <xf numFmtId="0" fontId="0" fillId="0" borderId="0" xfId="0" applyFont="1" applyAlignment="1" quotePrefix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 quotePrefix="1">
      <alignment/>
    </xf>
    <xf numFmtId="0" fontId="0" fillId="39" borderId="0" xfId="0" applyFill="1" applyAlignment="1">
      <alignment/>
    </xf>
    <xf numFmtId="0" fontId="0" fillId="39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26" borderId="0" xfId="0" applyFill="1" applyAlignment="1">
      <alignment/>
    </xf>
    <xf numFmtId="0" fontId="0" fillId="26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37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38" borderId="10" xfId="0" applyFill="1" applyBorder="1" applyAlignment="1">
      <alignment/>
    </xf>
    <xf numFmtId="0" fontId="0" fillId="38" borderId="0" xfId="0" applyFont="1" applyFill="1" applyBorder="1" applyAlignment="1">
      <alignment/>
    </xf>
    <xf numFmtId="171" fontId="0" fillId="35" borderId="10" xfId="47" applyFont="1" applyFill="1" applyBorder="1" applyAlignment="1">
      <alignment/>
    </xf>
    <xf numFmtId="171" fontId="0" fillId="0" borderId="10" xfId="47" applyFont="1" applyBorder="1" applyAlignment="1">
      <alignment/>
    </xf>
    <xf numFmtId="1" fontId="0" fillId="0" borderId="0" xfId="0" applyNumberFormat="1" applyFill="1" applyAlignment="1">
      <alignment/>
    </xf>
    <xf numFmtId="1" fontId="0" fillId="39" borderId="0" xfId="0" applyNumberFormat="1" applyFill="1" applyAlignment="1">
      <alignment/>
    </xf>
    <xf numFmtId="174" fontId="0" fillId="2" borderId="0" xfId="47" applyNumberFormat="1" applyFont="1" applyFill="1" applyAlignment="1">
      <alignment/>
    </xf>
    <xf numFmtId="0" fontId="0" fillId="39" borderId="10" xfId="0" applyFill="1" applyBorder="1" applyAlignment="1">
      <alignment/>
    </xf>
    <xf numFmtId="171" fontId="0" fillId="39" borderId="10" xfId="47" applyFont="1" applyFill="1" applyBorder="1" applyAlignment="1">
      <alignment/>
    </xf>
    <xf numFmtId="0" fontId="0" fillId="33" borderId="10" xfId="0" applyFont="1" applyFill="1" applyBorder="1" applyAlignment="1">
      <alignment/>
    </xf>
    <xf numFmtId="43" fontId="0" fillId="39" borderId="0" xfId="0" applyNumberFormat="1" applyFill="1" applyAlignment="1">
      <alignment/>
    </xf>
    <xf numFmtId="43" fontId="0" fillId="0" borderId="10" xfId="0" applyNumberForma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174" fontId="0" fillId="35" borderId="0" xfId="47" applyNumberFormat="1" applyFont="1" applyFill="1" applyAlignment="1">
      <alignment/>
    </xf>
    <xf numFmtId="0" fontId="0" fillId="24" borderId="0" xfId="0" applyFill="1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0" fontId="0" fillId="39" borderId="18" xfId="0" applyFill="1" applyBorder="1" applyAlignment="1">
      <alignment/>
    </xf>
    <xf numFmtId="0" fontId="0" fillId="39" borderId="0" xfId="0" applyFill="1" applyAlignment="1">
      <alignment horizontal="center"/>
    </xf>
    <xf numFmtId="0" fontId="20" fillId="0" borderId="0" xfId="0" applyFont="1" applyAlignment="1">
      <alignment/>
    </xf>
    <xf numFmtId="0" fontId="0" fillId="0" borderId="19" xfId="0" applyFill="1" applyBorder="1" applyAlignment="1">
      <alignment/>
    </xf>
    <xf numFmtId="0" fontId="21" fillId="0" borderId="20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9" xfId="0" applyNumberForma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21" fillId="0" borderId="22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9" borderId="0" xfId="0" applyFill="1" applyAlignment="1">
      <alignment/>
    </xf>
    <xf numFmtId="0" fontId="0" fillId="9" borderId="0" xfId="0" applyFont="1" applyFill="1" applyAlignment="1">
      <alignment/>
    </xf>
    <xf numFmtId="0" fontId="0" fillId="10" borderId="0" xfId="0" applyFill="1" applyAlignment="1">
      <alignment/>
    </xf>
    <xf numFmtId="0" fontId="0" fillId="10" borderId="0" xfId="0" applyFont="1" applyFill="1" applyAlignment="1">
      <alignment/>
    </xf>
    <xf numFmtId="0" fontId="0" fillId="6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19</xdr:col>
      <xdr:colOff>238125</xdr:colOff>
      <xdr:row>16</xdr:row>
      <xdr:rowOff>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5734050" y="152400"/>
          <a:ext cx="4810125" cy="2305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X1 Cantidad a fabricar de bicicletas tipo A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X2 Cantidad a fabricar de bicicletas tipo B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Zmax: 4$/x1*X1 + $3/x2*X2 + 0X3+0X4+0X5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3*X1+ *8X2 + X3  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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52,8 minutos de estampado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12X1 + 6X2  + X4 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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42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 X1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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+ 9 X2 +X5 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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36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X1, X2 &gt;=0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6</xdr:row>
      <xdr:rowOff>142875</xdr:rowOff>
    </xdr:from>
    <xdr:to>
      <xdr:col>8</xdr:col>
      <xdr:colOff>152400</xdr:colOff>
      <xdr:row>21</xdr:row>
      <xdr:rowOff>142875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314450" y="1066800"/>
          <a:ext cx="30480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X1 Cantidad a fabricar de bicicletas tipo A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X2 Cantidad a fabricar de bicicletas tipo B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Zmax: 4$/x1*X1 + $3/x2*X2 + 0X3+0X4+0X5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3*X1+ *X2 + X3  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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52,8 minutos de estampado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12X1 + 6X2  + X4 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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42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 X1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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+ 9 X2 +X5 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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36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X1, X2 &gt;=0
</a:t>
          </a:r>
        </a:p>
      </xdr:txBody>
    </xdr:sp>
    <xdr:clientData/>
  </xdr:twoCellAnchor>
  <xdr:twoCellAnchor>
    <xdr:from>
      <xdr:col>9</xdr:col>
      <xdr:colOff>114300</xdr:colOff>
      <xdr:row>15</xdr:row>
      <xdr:rowOff>76200</xdr:rowOff>
    </xdr:from>
    <xdr:to>
      <xdr:col>28</xdr:col>
      <xdr:colOff>85725</xdr:colOff>
      <xdr:row>23</xdr:row>
      <xdr:rowOff>47625</xdr:rowOff>
    </xdr:to>
    <xdr:sp>
      <xdr:nvSpPr>
        <xdr:cNvPr id="2" name="Conector recto 14"/>
        <xdr:cNvSpPr>
          <a:spLocks/>
        </xdr:cNvSpPr>
      </xdr:nvSpPr>
      <xdr:spPr>
        <a:xfrm flipH="1" flipV="1">
          <a:off x="4714875" y="2371725"/>
          <a:ext cx="3724275" cy="1190625"/>
        </a:xfrm>
        <a:prstGeom prst="line">
          <a:avLst/>
        </a:prstGeom>
        <a:noFill/>
        <a:ln w="19050" cmpd="sng">
          <a:solidFill>
            <a:srgbClr val="4472C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14</xdr:row>
      <xdr:rowOff>0</xdr:rowOff>
    </xdr:from>
    <xdr:to>
      <xdr:col>14</xdr:col>
      <xdr:colOff>171450</xdr:colOff>
      <xdr:row>26</xdr:row>
      <xdr:rowOff>0</xdr:rowOff>
    </xdr:to>
    <xdr:sp>
      <xdr:nvSpPr>
        <xdr:cNvPr id="3" name="Conector recto 17"/>
        <xdr:cNvSpPr>
          <a:spLocks/>
        </xdr:cNvSpPr>
      </xdr:nvSpPr>
      <xdr:spPr>
        <a:xfrm>
          <a:off x="4924425" y="2143125"/>
          <a:ext cx="933450" cy="18288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17</xdr:row>
      <xdr:rowOff>95250</xdr:rowOff>
    </xdr:from>
    <xdr:to>
      <xdr:col>17</xdr:col>
      <xdr:colOff>95250</xdr:colOff>
      <xdr:row>26</xdr:row>
      <xdr:rowOff>57150</xdr:rowOff>
    </xdr:to>
    <xdr:sp>
      <xdr:nvSpPr>
        <xdr:cNvPr id="4" name="Conector recto 21"/>
        <xdr:cNvSpPr>
          <a:spLocks/>
        </xdr:cNvSpPr>
      </xdr:nvSpPr>
      <xdr:spPr>
        <a:xfrm>
          <a:off x="4924425" y="2695575"/>
          <a:ext cx="1428750" cy="1333500"/>
        </a:xfrm>
        <a:prstGeom prst="line">
          <a:avLst/>
        </a:prstGeom>
        <a:noFill/>
        <a:ln w="19050" cmpd="sng">
          <a:solidFill>
            <a:srgbClr val="70AD4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22</xdr:row>
      <xdr:rowOff>47625</xdr:rowOff>
    </xdr:from>
    <xdr:to>
      <xdr:col>22</xdr:col>
      <xdr:colOff>85725</xdr:colOff>
      <xdr:row>28</xdr:row>
      <xdr:rowOff>38100</xdr:rowOff>
    </xdr:to>
    <xdr:sp>
      <xdr:nvSpPr>
        <xdr:cNvPr id="5" name="Flecha: hacia abajo 22"/>
        <xdr:cNvSpPr>
          <a:spLocks/>
        </xdr:cNvSpPr>
      </xdr:nvSpPr>
      <xdr:spPr>
        <a:xfrm rot="364583">
          <a:off x="6848475" y="3409950"/>
          <a:ext cx="447675" cy="904875"/>
        </a:xfrm>
        <a:prstGeom prst="downArrow">
          <a:avLst>
            <a:gd name="adj" fmla="val 24662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15</xdr:row>
      <xdr:rowOff>57150</xdr:rowOff>
    </xdr:from>
    <xdr:to>
      <xdr:col>9</xdr:col>
      <xdr:colOff>323850</xdr:colOff>
      <xdr:row>21</xdr:row>
      <xdr:rowOff>47625</xdr:rowOff>
    </xdr:to>
    <xdr:sp>
      <xdr:nvSpPr>
        <xdr:cNvPr id="6" name="Flecha: hacia abajo 23"/>
        <xdr:cNvSpPr>
          <a:spLocks/>
        </xdr:cNvSpPr>
      </xdr:nvSpPr>
      <xdr:spPr>
        <a:xfrm rot="364583">
          <a:off x="4600575" y="2352675"/>
          <a:ext cx="323850" cy="904875"/>
        </a:xfrm>
        <a:prstGeom prst="downArrow">
          <a:avLst>
            <a:gd name="adj" fmla="val 25046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14</xdr:row>
      <xdr:rowOff>152400</xdr:rowOff>
    </xdr:from>
    <xdr:to>
      <xdr:col>9</xdr:col>
      <xdr:colOff>323850</xdr:colOff>
      <xdr:row>17</xdr:row>
      <xdr:rowOff>152400</xdr:rowOff>
    </xdr:to>
    <xdr:sp>
      <xdr:nvSpPr>
        <xdr:cNvPr id="7" name="Flecha: hacia abajo 24"/>
        <xdr:cNvSpPr>
          <a:spLocks/>
        </xdr:cNvSpPr>
      </xdr:nvSpPr>
      <xdr:spPr>
        <a:xfrm rot="3435899">
          <a:off x="4600575" y="2295525"/>
          <a:ext cx="323850" cy="457200"/>
        </a:xfrm>
        <a:prstGeom prst="downArrow">
          <a:avLst>
            <a:gd name="adj" fmla="val 24662"/>
          </a:avLst>
        </a:prstGeom>
        <a:solidFill>
          <a:srgbClr val="FF0000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25</xdr:row>
      <xdr:rowOff>47625</xdr:rowOff>
    </xdr:from>
    <xdr:to>
      <xdr:col>14</xdr:col>
      <xdr:colOff>133350</xdr:colOff>
      <xdr:row>28</xdr:row>
      <xdr:rowOff>47625</xdr:rowOff>
    </xdr:to>
    <xdr:sp>
      <xdr:nvSpPr>
        <xdr:cNvPr id="8" name="Flecha: hacia abajo 25"/>
        <xdr:cNvSpPr>
          <a:spLocks/>
        </xdr:cNvSpPr>
      </xdr:nvSpPr>
      <xdr:spPr>
        <a:xfrm rot="3435899">
          <a:off x="4943475" y="3867150"/>
          <a:ext cx="876300" cy="457200"/>
        </a:xfrm>
        <a:prstGeom prst="downArrow">
          <a:avLst>
            <a:gd name="adj" fmla="val 24662"/>
          </a:avLst>
        </a:prstGeom>
        <a:solidFill>
          <a:srgbClr val="FF0000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16</xdr:row>
      <xdr:rowOff>152400</xdr:rowOff>
    </xdr:from>
    <xdr:to>
      <xdr:col>9</xdr:col>
      <xdr:colOff>323850</xdr:colOff>
      <xdr:row>23</xdr:row>
      <xdr:rowOff>0</xdr:rowOff>
    </xdr:to>
    <xdr:sp>
      <xdr:nvSpPr>
        <xdr:cNvPr id="9" name="Flecha: hacia abajo 32"/>
        <xdr:cNvSpPr>
          <a:spLocks/>
        </xdr:cNvSpPr>
      </xdr:nvSpPr>
      <xdr:spPr>
        <a:xfrm rot="2347080">
          <a:off x="4600575" y="2600325"/>
          <a:ext cx="323850" cy="914400"/>
        </a:xfrm>
        <a:prstGeom prst="downArrow">
          <a:avLst>
            <a:gd name="adj" fmla="val 25231"/>
          </a:avLst>
        </a:prstGeom>
        <a:solidFill>
          <a:srgbClr val="70AD47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18</xdr:row>
      <xdr:rowOff>76200</xdr:rowOff>
    </xdr:from>
    <xdr:to>
      <xdr:col>10</xdr:col>
      <xdr:colOff>47625</xdr:colOff>
      <xdr:row>19</xdr:row>
      <xdr:rowOff>47625</xdr:rowOff>
    </xdr:to>
    <xdr:sp>
      <xdr:nvSpPr>
        <xdr:cNvPr id="10" name="Elipse 33"/>
        <xdr:cNvSpPr>
          <a:spLocks/>
        </xdr:cNvSpPr>
      </xdr:nvSpPr>
      <xdr:spPr>
        <a:xfrm>
          <a:off x="4924425" y="2828925"/>
          <a:ext cx="47625" cy="123825"/>
        </a:xfrm>
        <a:prstGeom prst="ellipse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21</xdr:row>
      <xdr:rowOff>38100</xdr:rowOff>
    </xdr:from>
    <xdr:to>
      <xdr:col>12</xdr:col>
      <xdr:colOff>180975</xdr:colOff>
      <xdr:row>22</xdr:row>
      <xdr:rowOff>0</xdr:rowOff>
    </xdr:to>
    <xdr:sp>
      <xdr:nvSpPr>
        <xdr:cNvPr id="11" name="Elipse 34"/>
        <xdr:cNvSpPr>
          <a:spLocks/>
        </xdr:cNvSpPr>
      </xdr:nvSpPr>
      <xdr:spPr>
        <a:xfrm>
          <a:off x="5362575" y="3248025"/>
          <a:ext cx="123825" cy="114300"/>
        </a:xfrm>
        <a:prstGeom prst="ellipse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22</xdr:row>
      <xdr:rowOff>123825</xdr:rowOff>
    </xdr:from>
    <xdr:to>
      <xdr:col>13</xdr:col>
      <xdr:colOff>123825</xdr:colOff>
      <xdr:row>23</xdr:row>
      <xdr:rowOff>85725</xdr:rowOff>
    </xdr:to>
    <xdr:sp>
      <xdr:nvSpPr>
        <xdr:cNvPr id="12" name="Elipse 35"/>
        <xdr:cNvSpPr>
          <a:spLocks/>
        </xdr:cNvSpPr>
      </xdr:nvSpPr>
      <xdr:spPr>
        <a:xfrm>
          <a:off x="5495925" y="3486150"/>
          <a:ext cx="123825" cy="114300"/>
        </a:xfrm>
        <a:prstGeom prst="ellipse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22</xdr:row>
      <xdr:rowOff>123825</xdr:rowOff>
    </xdr:from>
    <xdr:to>
      <xdr:col>10</xdr:col>
      <xdr:colOff>76200</xdr:colOff>
      <xdr:row>23</xdr:row>
      <xdr:rowOff>95250</xdr:rowOff>
    </xdr:to>
    <xdr:sp>
      <xdr:nvSpPr>
        <xdr:cNvPr id="13" name="Elipse 36"/>
        <xdr:cNvSpPr>
          <a:spLocks/>
        </xdr:cNvSpPr>
      </xdr:nvSpPr>
      <xdr:spPr>
        <a:xfrm>
          <a:off x="4924425" y="3486150"/>
          <a:ext cx="76200" cy="123825"/>
        </a:xfrm>
        <a:prstGeom prst="ellipse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17</xdr:row>
      <xdr:rowOff>95250</xdr:rowOff>
    </xdr:from>
    <xdr:to>
      <xdr:col>14</xdr:col>
      <xdr:colOff>152400</xdr:colOff>
      <xdr:row>29</xdr:row>
      <xdr:rowOff>9525</xdr:rowOff>
    </xdr:to>
    <xdr:sp>
      <xdr:nvSpPr>
        <xdr:cNvPr id="14" name="Conector recto 38"/>
        <xdr:cNvSpPr>
          <a:spLocks/>
        </xdr:cNvSpPr>
      </xdr:nvSpPr>
      <xdr:spPr>
        <a:xfrm>
          <a:off x="4600575" y="2695575"/>
          <a:ext cx="1238250" cy="1743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43</xdr:row>
      <xdr:rowOff>114300</xdr:rowOff>
    </xdr:from>
    <xdr:to>
      <xdr:col>8</xdr:col>
      <xdr:colOff>9525</xdr:colOff>
      <xdr:row>58</xdr:row>
      <xdr:rowOff>114300</xdr:rowOff>
    </xdr:to>
    <xdr:sp>
      <xdr:nvSpPr>
        <xdr:cNvPr id="15" name="CuadroTexto 2"/>
        <xdr:cNvSpPr txBox="1">
          <a:spLocks noChangeArrowheads="1"/>
        </xdr:cNvSpPr>
      </xdr:nvSpPr>
      <xdr:spPr>
        <a:xfrm>
          <a:off x="1314450" y="6677025"/>
          <a:ext cx="2905125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X1 = 3 Y X2 = 1 $15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C1= 4$/Unidad X1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C2=$3/Unidad X2 Con C2 Cte -4/3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PENDIENTE R2˂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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-C1/C2 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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 PENDIENTE R3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-12/6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˂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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-C1/C2 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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 -9/9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-2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˂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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-C1/3 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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 -1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6&gt;= C1 &gt;=3  x1= 3 X2 = 1 y C2 Cte = 3 </a:t>
          </a:r>
        </a:p>
      </xdr:txBody>
    </xdr:sp>
    <xdr:clientData/>
  </xdr:twoCellAnchor>
  <xdr:twoCellAnchor>
    <xdr:from>
      <xdr:col>9</xdr:col>
      <xdr:colOff>323850</xdr:colOff>
      <xdr:row>46</xdr:row>
      <xdr:rowOff>0</xdr:rowOff>
    </xdr:from>
    <xdr:to>
      <xdr:col>14</xdr:col>
      <xdr:colOff>171450</xdr:colOff>
      <xdr:row>58</xdr:row>
      <xdr:rowOff>0</xdr:rowOff>
    </xdr:to>
    <xdr:sp>
      <xdr:nvSpPr>
        <xdr:cNvPr id="16" name="Conector recto 43"/>
        <xdr:cNvSpPr>
          <a:spLocks/>
        </xdr:cNvSpPr>
      </xdr:nvSpPr>
      <xdr:spPr>
        <a:xfrm>
          <a:off x="4924425" y="7019925"/>
          <a:ext cx="933450" cy="18288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49</xdr:row>
      <xdr:rowOff>95250</xdr:rowOff>
    </xdr:from>
    <xdr:to>
      <xdr:col>17</xdr:col>
      <xdr:colOff>95250</xdr:colOff>
      <xdr:row>58</xdr:row>
      <xdr:rowOff>57150</xdr:rowOff>
    </xdr:to>
    <xdr:sp>
      <xdr:nvSpPr>
        <xdr:cNvPr id="17" name="Conector recto 44"/>
        <xdr:cNvSpPr>
          <a:spLocks/>
        </xdr:cNvSpPr>
      </xdr:nvSpPr>
      <xdr:spPr>
        <a:xfrm>
          <a:off x="4924425" y="7572375"/>
          <a:ext cx="1428750" cy="1333500"/>
        </a:xfrm>
        <a:prstGeom prst="line">
          <a:avLst/>
        </a:prstGeom>
        <a:noFill/>
        <a:ln w="19050" cmpd="sng">
          <a:solidFill>
            <a:srgbClr val="70AD4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50</xdr:row>
      <xdr:rowOff>76200</xdr:rowOff>
    </xdr:from>
    <xdr:to>
      <xdr:col>10</xdr:col>
      <xdr:colOff>47625</xdr:colOff>
      <xdr:row>51</xdr:row>
      <xdr:rowOff>47625</xdr:rowOff>
    </xdr:to>
    <xdr:sp>
      <xdr:nvSpPr>
        <xdr:cNvPr id="18" name="Elipse 50"/>
        <xdr:cNvSpPr>
          <a:spLocks/>
        </xdr:cNvSpPr>
      </xdr:nvSpPr>
      <xdr:spPr>
        <a:xfrm>
          <a:off x="4924425" y="7705725"/>
          <a:ext cx="47625" cy="123825"/>
        </a:xfrm>
        <a:prstGeom prst="ellipse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53</xdr:row>
      <xdr:rowOff>38100</xdr:rowOff>
    </xdr:from>
    <xdr:to>
      <xdr:col>12</xdr:col>
      <xdr:colOff>180975</xdr:colOff>
      <xdr:row>54</xdr:row>
      <xdr:rowOff>0</xdr:rowOff>
    </xdr:to>
    <xdr:sp>
      <xdr:nvSpPr>
        <xdr:cNvPr id="19" name="Elipse 51"/>
        <xdr:cNvSpPr>
          <a:spLocks/>
        </xdr:cNvSpPr>
      </xdr:nvSpPr>
      <xdr:spPr>
        <a:xfrm>
          <a:off x="5362575" y="8124825"/>
          <a:ext cx="123825" cy="114300"/>
        </a:xfrm>
        <a:prstGeom prst="ellipse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54</xdr:row>
      <xdr:rowOff>123825</xdr:rowOff>
    </xdr:from>
    <xdr:to>
      <xdr:col>13</xdr:col>
      <xdr:colOff>123825</xdr:colOff>
      <xdr:row>55</xdr:row>
      <xdr:rowOff>85725</xdr:rowOff>
    </xdr:to>
    <xdr:sp>
      <xdr:nvSpPr>
        <xdr:cNvPr id="20" name="Elipse 52"/>
        <xdr:cNvSpPr>
          <a:spLocks/>
        </xdr:cNvSpPr>
      </xdr:nvSpPr>
      <xdr:spPr>
        <a:xfrm>
          <a:off x="5495925" y="8362950"/>
          <a:ext cx="123825" cy="114300"/>
        </a:xfrm>
        <a:prstGeom prst="ellipse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54</xdr:row>
      <xdr:rowOff>123825</xdr:rowOff>
    </xdr:from>
    <xdr:to>
      <xdr:col>10</xdr:col>
      <xdr:colOff>76200</xdr:colOff>
      <xdr:row>55</xdr:row>
      <xdr:rowOff>95250</xdr:rowOff>
    </xdr:to>
    <xdr:sp>
      <xdr:nvSpPr>
        <xdr:cNvPr id="21" name="Elipse 53"/>
        <xdr:cNvSpPr>
          <a:spLocks/>
        </xdr:cNvSpPr>
      </xdr:nvSpPr>
      <xdr:spPr>
        <a:xfrm>
          <a:off x="4924425" y="8362950"/>
          <a:ext cx="76200" cy="123825"/>
        </a:xfrm>
        <a:prstGeom prst="ellipse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53</xdr:row>
      <xdr:rowOff>38100</xdr:rowOff>
    </xdr:from>
    <xdr:to>
      <xdr:col>15</xdr:col>
      <xdr:colOff>95250</xdr:colOff>
      <xdr:row>57</xdr:row>
      <xdr:rowOff>47625</xdr:rowOff>
    </xdr:to>
    <xdr:sp>
      <xdr:nvSpPr>
        <xdr:cNvPr id="22" name="Conector recto 54"/>
        <xdr:cNvSpPr>
          <a:spLocks/>
        </xdr:cNvSpPr>
      </xdr:nvSpPr>
      <xdr:spPr>
        <a:xfrm>
          <a:off x="5391150" y="8124825"/>
          <a:ext cx="581025" cy="619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63</xdr:row>
      <xdr:rowOff>133350</xdr:rowOff>
    </xdr:from>
    <xdr:to>
      <xdr:col>8</xdr:col>
      <xdr:colOff>0</xdr:colOff>
      <xdr:row>78</xdr:row>
      <xdr:rowOff>104775</xdr:rowOff>
    </xdr:to>
    <xdr:sp>
      <xdr:nvSpPr>
        <xdr:cNvPr id="23" name="CuadroTexto 2"/>
        <xdr:cNvSpPr txBox="1">
          <a:spLocks noChangeArrowheads="1"/>
        </xdr:cNvSpPr>
      </xdr:nvSpPr>
      <xdr:spPr>
        <a:xfrm>
          <a:off x="1285875" y="9763125"/>
          <a:ext cx="292417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X1 = 3 Y X2 = 1 $15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C1= 4$/Unidad X1 Con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C1 Cte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C2=$3/Unidad X2 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PENDIENTE R2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&gt;=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-C2/C1 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&gt;=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PENDIENTE R3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-6/12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&gt;=-C2/4 &gt;= 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-9/9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˂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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C2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˂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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x1= 3 X2 = 1 y C1 Cte = 4 </a:t>
          </a:r>
        </a:p>
      </xdr:txBody>
    </xdr:sp>
    <xdr:clientData/>
  </xdr:twoCellAnchor>
  <xdr:twoCellAnchor>
    <xdr:from>
      <xdr:col>31</xdr:col>
      <xdr:colOff>0</xdr:colOff>
      <xdr:row>43</xdr:row>
      <xdr:rowOff>0</xdr:rowOff>
    </xdr:from>
    <xdr:to>
      <xdr:col>37</xdr:col>
      <xdr:colOff>219075</xdr:colOff>
      <xdr:row>61</xdr:row>
      <xdr:rowOff>85725</xdr:rowOff>
    </xdr:to>
    <xdr:sp>
      <xdr:nvSpPr>
        <xdr:cNvPr id="24" name="CuadroTexto 1"/>
        <xdr:cNvSpPr txBox="1">
          <a:spLocks noChangeArrowheads="1"/>
        </xdr:cNvSpPr>
      </xdr:nvSpPr>
      <xdr:spPr>
        <a:xfrm>
          <a:off x="10067925" y="6562725"/>
          <a:ext cx="4791075" cy="284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X1 Cantidad a fabricar de bicicletas tipo A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X2 Cantidad a fabricar de bicicletas tipo B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Zmax: 4$/x1*X1 + $3/x2*X2 +Cxnueva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3*X1+ *8X2  + 1 Xnueva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˂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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52,8 minutos de estampado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12X1 + 6X2  + 1 Xnueva 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˂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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42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 X1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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+ 9 X2  + 1 Xnueva 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˂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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36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X1, X2 &gt;=0
</a:t>
          </a:r>
        </a:p>
      </xdr:txBody>
    </xdr:sp>
    <xdr:clientData/>
  </xdr:twoCellAnchor>
  <xdr:twoCellAnchor>
    <xdr:from>
      <xdr:col>31</xdr:col>
      <xdr:colOff>0</xdr:colOff>
      <xdr:row>87</xdr:row>
      <xdr:rowOff>0</xdr:rowOff>
    </xdr:from>
    <xdr:to>
      <xdr:col>37</xdr:col>
      <xdr:colOff>219075</xdr:colOff>
      <xdr:row>105</xdr:row>
      <xdr:rowOff>85725</xdr:rowOff>
    </xdr:to>
    <xdr:sp>
      <xdr:nvSpPr>
        <xdr:cNvPr id="25" name="CuadroTexto 1"/>
        <xdr:cNvSpPr txBox="1">
          <a:spLocks noChangeArrowheads="1"/>
        </xdr:cNvSpPr>
      </xdr:nvSpPr>
      <xdr:spPr>
        <a:xfrm>
          <a:off x="10067925" y="13363575"/>
          <a:ext cx="4791075" cy="300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X1 Cantidad a fabricar de bicicletas tipo A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X2 Cantidad a fabricar de bicicletas tipo B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Zmax: 4$/x1*X1 + $3/x2*X2 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3*X1+ *8X2  + 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˂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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52,8 minutos de estampado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12X1 + 6X2   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˂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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42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 X1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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+ 9 X2  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˂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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36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X1, X2 &gt;=0
</a:t>
          </a:r>
        </a:p>
      </xdr:txBody>
    </xdr:sp>
    <xdr:clientData/>
  </xdr:twoCellAnchor>
  <xdr:twoCellAnchor>
    <xdr:from>
      <xdr:col>32</xdr:col>
      <xdr:colOff>0</xdr:colOff>
      <xdr:row>120</xdr:row>
      <xdr:rowOff>0</xdr:rowOff>
    </xdr:from>
    <xdr:to>
      <xdr:col>38</xdr:col>
      <xdr:colOff>47625</xdr:colOff>
      <xdr:row>136</xdr:row>
      <xdr:rowOff>133350</xdr:rowOff>
    </xdr:to>
    <xdr:sp>
      <xdr:nvSpPr>
        <xdr:cNvPr id="26" name="CuadroTexto 1"/>
        <xdr:cNvSpPr txBox="1">
          <a:spLocks noChangeArrowheads="1"/>
        </xdr:cNvSpPr>
      </xdr:nvSpPr>
      <xdr:spPr>
        <a:xfrm>
          <a:off x="10829925" y="18621375"/>
          <a:ext cx="4762500" cy="2695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X1 Cantidad a fabricar de bicicletas tipo A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X2 Cantidad a fabricar de bicicletas tipo B
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Zmax: 4$/x1*X1 + $3/x2*X2 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 3*X1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 *8X2  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˂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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52,8 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minutos de estampado
</a:t>
          </a:r>
          <a:r>
            <a:rPr lang="en-US" cap="none" sz="1800" b="0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12X1 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+ 6X2  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+ 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˂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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42
</a:t>
          </a:r>
          <a:r>
            <a:rPr lang="en-US" cap="none" sz="1800" b="0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9 X1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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+ 9 X2  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˂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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36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X1, X2 &gt;=0
</a:t>
          </a:r>
        </a:p>
      </xdr:txBody>
    </xdr:sp>
    <xdr:clientData/>
  </xdr:twoCellAnchor>
  <xdr:twoCellAnchor>
    <xdr:from>
      <xdr:col>33</xdr:col>
      <xdr:colOff>0</xdr:colOff>
      <xdr:row>143</xdr:row>
      <xdr:rowOff>0</xdr:rowOff>
    </xdr:from>
    <xdr:to>
      <xdr:col>39</xdr:col>
      <xdr:colOff>47625</xdr:colOff>
      <xdr:row>159</xdr:row>
      <xdr:rowOff>133350</xdr:rowOff>
    </xdr:to>
    <xdr:sp>
      <xdr:nvSpPr>
        <xdr:cNvPr id="27" name="CuadroTexto 1"/>
        <xdr:cNvSpPr txBox="1">
          <a:spLocks noChangeArrowheads="1"/>
        </xdr:cNvSpPr>
      </xdr:nvSpPr>
      <xdr:spPr>
        <a:xfrm>
          <a:off x="11591925" y="22307550"/>
          <a:ext cx="4762500" cy="2695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X1 Cantidad a fabricar de bicicletas tipo A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X2 Cantidad a fabricar de bicicletas tipo B
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Zmax: 4$/x1*X1 + $3/x2*X2 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 3*X1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 *8X2  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˂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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52,8 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minutos de estampado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-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6X2  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˂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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-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42
</a:t>
          </a:r>
          <a:r>
            <a:rPr lang="en-US" cap="none" sz="1800" b="0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9 X1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˂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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36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X1, X2 &gt;=0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6</xdr:row>
      <xdr:rowOff>114300</xdr:rowOff>
    </xdr:from>
    <xdr:to>
      <xdr:col>5</xdr:col>
      <xdr:colOff>285750</xdr:colOff>
      <xdr:row>19</xdr:row>
      <xdr:rowOff>142875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485775" y="1028700"/>
          <a:ext cx="3181350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X1 = Tn de Fetilizante tipo A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X2= Tn de Fertilizante tipo B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Zmax = 18,5 X1 + 20 X2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0,05X1 +    0,05X2          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˂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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1100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0,05 X1 + 0,1 X2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˂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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1800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0,1 x1 + 0,05 X2 ˂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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2000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X1 y x2 Mayor = 0</a:t>
          </a:r>
        </a:p>
      </xdr:txBody>
    </xdr:sp>
    <xdr:clientData/>
  </xdr:twoCellAnchor>
  <xdr:twoCellAnchor>
    <xdr:from>
      <xdr:col>6</xdr:col>
      <xdr:colOff>209550</xdr:colOff>
      <xdr:row>0</xdr:row>
      <xdr:rowOff>66675</xdr:rowOff>
    </xdr:from>
    <xdr:to>
      <xdr:col>31</xdr:col>
      <xdr:colOff>114300</xdr:colOff>
      <xdr:row>25</xdr:row>
      <xdr:rowOff>76200</xdr:rowOff>
    </xdr:to>
    <xdr:sp>
      <xdr:nvSpPr>
        <xdr:cNvPr id="2" name="Conector recto 11"/>
        <xdr:cNvSpPr>
          <a:spLocks/>
        </xdr:cNvSpPr>
      </xdr:nvSpPr>
      <xdr:spPr>
        <a:xfrm>
          <a:off x="4000500" y="66675"/>
          <a:ext cx="4171950" cy="3857625"/>
        </a:xfrm>
        <a:prstGeom prst="line">
          <a:avLst/>
        </a:prstGeom>
        <a:noFill/>
        <a:ln w="19050" cmpd="sng">
          <a:solidFill>
            <a:srgbClr val="4472C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4</xdr:row>
      <xdr:rowOff>114300</xdr:rowOff>
    </xdr:from>
    <xdr:to>
      <xdr:col>36</xdr:col>
      <xdr:colOff>476250</xdr:colOff>
      <xdr:row>24</xdr:row>
      <xdr:rowOff>85725</xdr:rowOff>
    </xdr:to>
    <xdr:sp>
      <xdr:nvSpPr>
        <xdr:cNvPr id="3" name="Conector recto 13"/>
        <xdr:cNvSpPr>
          <a:spLocks/>
        </xdr:cNvSpPr>
      </xdr:nvSpPr>
      <xdr:spPr>
        <a:xfrm>
          <a:off x="4000500" y="723900"/>
          <a:ext cx="8543925" cy="3048000"/>
        </a:xfrm>
        <a:prstGeom prst="line">
          <a:avLst/>
        </a:prstGeom>
        <a:noFill/>
        <a:ln w="19050" cmpd="sng">
          <a:solidFill>
            <a:srgbClr val="ED7D3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5</xdr:row>
      <xdr:rowOff>123825</xdr:rowOff>
    </xdr:from>
    <xdr:to>
      <xdr:col>8</xdr:col>
      <xdr:colOff>133350</xdr:colOff>
      <xdr:row>11</xdr:row>
      <xdr:rowOff>19050</xdr:rowOff>
    </xdr:to>
    <xdr:sp>
      <xdr:nvSpPr>
        <xdr:cNvPr id="4" name="Flecha: hacia abajo 18"/>
        <xdr:cNvSpPr>
          <a:spLocks/>
        </xdr:cNvSpPr>
      </xdr:nvSpPr>
      <xdr:spPr>
        <a:xfrm rot="1287329">
          <a:off x="4000500" y="885825"/>
          <a:ext cx="304800" cy="819150"/>
        </a:xfrm>
        <a:prstGeom prst="downArrow">
          <a:avLst>
            <a:gd name="adj" fmla="val 25939"/>
          </a:avLst>
        </a:prstGeom>
        <a:solidFill>
          <a:srgbClr val="ED7D31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22</xdr:row>
      <xdr:rowOff>9525</xdr:rowOff>
    </xdr:from>
    <xdr:to>
      <xdr:col>7</xdr:col>
      <xdr:colOff>85725</xdr:colOff>
      <xdr:row>23</xdr:row>
      <xdr:rowOff>133350</xdr:rowOff>
    </xdr:to>
    <xdr:sp>
      <xdr:nvSpPr>
        <xdr:cNvPr id="5" name="Elipse 24"/>
        <xdr:cNvSpPr>
          <a:spLocks/>
        </xdr:cNvSpPr>
      </xdr:nvSpPr>
      <xdr:spPr>
        <a:xfrm>
          <a:off x="4000500" y="3390900"/>
          <a:ext cx="85725" cy="276225"/>
        </a:xfrm>
        <a:prstGeom prst="ellipse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4</xdr:row>
      <xdr:rowOff>76200</xdr:rowOff>
    </xdr:from>
    <xdr:to>
      <xdr:col>7</xdr:col>
      <xdr:colOff>85725</xdr:colOff>
      <xdr:row>6</xdr:row>
      <xdr:rowOff>47625</xdr:rowOff>
    </xdr:to>
    <xdr:sp>
      <xdr:nvSpPr>
        <xdr:cNvPr id="6" name="Elipse 25"/>
        <xdr:cNvSpPr>
          <a:spLocks/>
        </xdr:cNvSpPr>
      </xdr:nvSpPr>
      <xdr:spPr>
        <a:xfrm>
          <a:off x="4000500" y="685800"/>
          <a:ext cx="85725" cy="276225"/>
        </a:xfrm>
        <a:prstGeom prst="ellipse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7</xdr:row>
      <xdr:rowOff>47625</xdr:rowOff>
    </xdr:from>
    <xdr:to>
      <xdr:col>14</xdr:col>
      <xdr:colOff>19050</xdr:colOff>
      <xdr:row>9</xdr:row>
      <xdr:rowOff>9525</xdr:rowOff>
    </xdr:to>
    <xdr:sp>
      <xdr:nvSpPr>
        <xdr:cNvPr id="7" name="Elipse 26"/>
        <xdr:cNvSpPr>
          <a:spLocks/>
        </xdr:cNvSpPr>
      </xdr:nvSpPr>
      <xdr:spPr>
        <a:xfrm>
          <a:off x="4914900" y="1114425"/>
          <a:ext cx="247650" cy="266700"/>
        </a:xfrm>
        <a:prstGeom prst="ellipse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76200</xdr:colOff>
      <xdr:row>17</xdr:row>
      <xdr:rowOff>47625</xdr:rowOff>
    </xdr:from>
    <xdr:to>
      <xdr:col>24</xdr:col>
      <xdr:colOff>152400</xdr:colOff>
      <xdr:row>19</xdr:row>
      <xdr:rowOff>19050</xdr:rowOff>
    </xdr:to>
    <xdr:sp>
      <xdr:nvSpPr>
        <xdr:cNvPr id="8" name="Elipse 27"/>
        <xdr:cNvSpPr>
          <a:spLocks/>
        </xdr:cNvSpPr>
      </xdr:nvSpPr>
      <xdr:spPr>
        <a:xfrm>
          <a:off x="6762750" y="2667000"/>
          <a:ext cx="247650" cy="276225"/>
        </a:xfrm>
        <a:prstGeom prst="ellipse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95250</xdr:colOff>
      <xdr:row>22</xdr:row>
      <xdr:rowOff>104775</xdr:rowOff>
    </xdr:from>
    <xdr:to>
      <xdr:col>27</xdr:col>
      <xdr:colOff>161925</xdr:colOff>
      <xdr:row>24</xdr:row>
      <xdr:rowOff>76200</xdr:rowOff>
    </xdr:to>
    <xdr:sp>
      <xdr:nvSpPr>
        <xdr:cNvPr id="9" name="Elipse 28"/>
        <xdr:cNvSpPr>
          <a:spLocks/>
        </xdr:cNvSpPr>
      </xdr:nvSpPr>
      <xdr:spPr>
        <a:xfrm>
          <a:off x="7296150" y="3486150"/>
          <a:ext cx="238125" cy="276225"/>
        </a:xfrm>
        <a:prstGeom prst="ellipse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123825</xdr:colOff>
      <xdr:row>7</xdr:row>
      <xdr:rowOff>76200</xdr:rowOff>
    </xdr:from>
    <xdr:to>
      <xdr:col>31</xdr:col>
      <xdr:colOff>238125</xdr:colOff>
      <xdr:row>18</xdr:row>
      <xdr:rowOff>95250</xdr:rowOff>
    </xdr:to>
    <xdr:sp>
      <xdr:nvSpPr>
        <xdr:cNvPr id="10" name="Conector recto 30"/>
        <xdr:cNvSpPr>
          <a:spLocks/>
        </xdr:cNvSpPr>
      </xdr:nvSpPr>
      <xdr:spPr>
        <a:xfrm flipH="1" flipV="1">
          <a:off x="4924425" y="1143000"/>
          <a:ext cx="3371850" cy="1724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38100</xdr:colOff>
      <xdr:row>33</xdr:row>
      <xdr:rowOff>114300</xdr:rowOff>
    </xdr:from>
    <xdr:to>
      <xdr:col>49</xdr:col>
      <xdr:colOff>219075</xdr:colOff>
      <xdr:row>46</xdr:row>
      <xdr:rowOff>152400</xdr:rowOff>
    </xdr:to>
    <xdr:sp>
      <xdr:nvSpPr>
        <xdr:cNvPr id="11" name="CuadroTexto 1"/>
        <xdr:cNvSpPr txBox="1">
          <a:spLocks noChangeArrowheads="1"/>
        </xdr:cNvSpPr>
      </xdr:nvSpPr>
      <xdr:spPr>
        <a:xfrm>
          <a:off x="17440275" y="5200650"/>
          <a:ext cx="4752975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X1 = Tn de Fetilizante tipo A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X2= Tn de Fertilizante tipo B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Zmax = 18,5 X1 + 20 X2 + 10 XF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0,05X1 +    0,05X2  +0,05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XF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˂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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1100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0,05 X1 + 0,1 X2 + 0,05 XF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˂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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1800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0,1 x1 + 0,05 X2 +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0,05 XF 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˂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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2000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X1 y x2 Mayor = 0</a:t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48</xdr:col>
      <xdr:colOff>561975</xdr:colOff>
      <xdr:row>89</xdr:row>
      <xdr:rowOff>47625</xdr:rowOff>
    </xdr:to>
    <xdr:sp>
      <xdr:nvSpPr>
        <xdr:cNvPr id="12" name="CuadroTexto 1"/>
        <xdr:cNvSpPr txBox="1">
          <a:spLocks noChangeArrowheads="1"/>
        </xdr:cNvSpPr>
      </xdr:nvSpPr>
      <xdr:spPr>
        <a:xfrm>
          <a:off x="18164175" y="11763375"/>
          <a:ext cx="3609975" cy="215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X1 = Tn de Fetilizante tipo A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X2= Tn de Fertilizante tipo B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Zmax = 18,5 X1 + 20 X2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0,05X1 +    0,05X2          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˂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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1100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0,05 X1 + 0,1 X2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˂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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1800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0,1 x1 + 0,05 X2 ˂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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2000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X1 y x2 Mayor = 0</a:t>
          </a:r>
        </a:p>
      </xdr:txBody>
    </xdr:sp>
    <xdr:clientData/>
  </xdr:twoCellAnchor>
  <xdr:twoCellAnchor>
    <xdr:from>
      <xdr:col>44</xdr:col>
      <xdr:colOff>542925</xdr:colOff>
      <xdr:row>110</xdr:row>
      <xdr:rowOff>123825</xdr:rowOff>
    </xdr:from>
    <xdr:to>
      <xdr:col>49</xdr:col>
      <xdr:colOff>352425</xdr:colOff>
      <xdr:row>124</xdr:row>
      <xdr:rowOff>9525</xdr:rowOff>
    </xdr:to>
    <xdr:sp>
      <xdr:nvSpPr>
        <xdr:cNvPr id="13" name="CuadroTexto 1"/>
        <xdr:cNvSpPr txBox="1">
          <a:spLocks noChangeArrowheads="1"/>
        </xdr:cNvSpPr>
      </xdr:nvSpPr>
      <xdr:spPr>
        <a:xfrm>
          <a:off x="18707100" y="17297400"/>
          <a:ext cx="3619500" cy="2095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X1 = Tn de Fetilizante tipo A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X2= Tn de Fertilizante tipo B
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Zmax = 18,5 X1 + 20 X2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0,05X1 +    0,05X2          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˂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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1100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0,05 X1 + 0,1 X2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˂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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1800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0,1 x1 + 0,05 X2 ˂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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2000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X1 y x2 Mayor = 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3"/>
  <sheetViews>
    <sheetView zoomScalePageLayoutView="0" workbookViewId="0" topLeftCell="A7">
      <selection activeCell="O26" sqref="O26"/>
    </sheetView>
  </sheetViews>
  <sheetFormatPr defaultColWidth="11.421875" defaultRowHeight="12.75"/>
  <cols>
    <col min="3" max="3" width="5.421875" style="0" customWidth="1"/>
    <col min="4" max="4" width="6.7109375" style="0" customWidth="1"/>
    <col min="5" max="5" width="9.00390625" style="0" bestFit="1" customWidth="1"/>
    <col min="6" max="7" width="5.140625" style="0" customWidth="1"/>
    <col min="8" max="9" width="5.421875" style="0" bestFit="1" customWidth="1"/>
    <col min="10" max="10" width="4.7109375" style="0" customWidth="1"/>
    <col min="11" max="11" width="5.140625" style="0" customWidth="1"/>
    <col min="12" max="12" width="5.421875" style="0" bestFit="1" customWidth="1"/>
    <col min="13" max="13" width="5.140625" style="0" customWidth="1"/>
    <col min="14" max="14" width="7.421875" style="0" bestFit="1" customWidth="1"/>
  </cols>
  <sheetData>
    <row r="1" spans="2:14" ht="12">
      <c r="B1" t="s">
        <v>8</v>
      </c>
      <c r="C1" s="1">
        <v>4</v>
      </c>
      <c r="D1" s="1">
        <v>3</v>
      </c>
      <c r="E1" s="1">
        <v>0</v>
      </c>
      <c r="F1" s="1">
        <v>0</v>
      </c>
      <c r="G1" s="1">
        <v>0</v>
      </c>
      <c r="H1" s="15">
        <v>0</v>
      </c>
      <c r="I1" s="15">
        <v>1000</v>
      </c>
      <c r="N1" t="s">
        <v>11</v>
      </c>
    </row>
    <row r="2" spans="3:13" ht="12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14</v>
      </c>
      <c r="I2" s="2" t="s">
        <v>15</v>
      </c>
      <c r="J2" s="16"/>
      <c r="K2" s="2" t="s">
        <v>5</v>
      </c>
      <c r="L2" s="2" t="s">
        <v>6</v>
      </c>
      <c r="M2" s="2" t="s">
        <v>7</v>
      </c>
    </row>
    <row r="3" spans="3:14" ht="12">
      <c r="C3" s="21">
        <v>3</v>
      </c>
      <c r="D3" s="28">
        <v>8</v>
      </c>
      <c r="E3" s="21">
        <v>1</v>
      </c>
      <c r="F3" s="21">
        <v>0</v>
      </c>
      <c r="G3" s="21">
        <v>0</v>
      </c>
      <c r="H3" s="21">
        <v>0</v>
      </c>
      <c r="I3" s="21">
        <v>0</v>
      </c>
      <c r="J3" s="22"/>
      <c r="K3" s="21">
        <v>52.8</v>
      </c>
      <c r="L3" s="21">
        <v>0</v>
      </c>
      <c r="M3" s="21" t="s">
        <v>2</v>
      </c>
      <c r="N3" s="22">
        <f>+K3/D3</f>
        <v>6.6</v>
      </c>
    </row>
    <row r="4" spans="3:14" ht="12">
      <c r="C4" s="21">
        <v>12</v>
      </c>
      <c r="D4" s="28">
        <v>6</v>
      </c>
      <c r="E4" s="21">
        <v>0</v>
      </c>
      <c r="F4" s="21">
        <v>1</v>
      </c>
      <c r="G4" s="21">
        <v>0</v>
      </c>
      <c r="H4" s="21">
        <v>0</v>
      </c>
      <c r="I4" s="21">
        <v>0</v>
      </c>
      <c r="J4" s="22"/>
      <c r="K4" s="21">
        <v>42</v>
      </c>
      <c r="L4" s="21">
        <v>0</v>
      </c>
      <c r="M4" s="21" t="s">
        <v>3</v>
      </c>
      <c r="N4" s="22">
        <f>+K4/D4</f>
        <v>7</v>
      </c>
    </row>
    <row r="5" spans="3:14" ht="12">
      <c r="C5" s="21">
        <v>9</v>
      </c>
      <c r="D5" s="28">
        <v>9</v>
      </c>
      <c r="E5" s="21">
        <v>0</v>
      </c>
      <c r="F5" s="21">
        <v>0</v>
      </c>
      <c r="G5" s="21">
        <v>1</v>
      </c>
      <c r="H5" s="21">
        <v>0</v>
      </c>
      <c r="I5" s="21">
        <v>0</v>
      </c>
      <c r="J5" s="22"/>
      <c r="K5" s="21">
        <v>36</v>
      </c>
      <c r="L5" s="21">
        <v>0</v>
      </c>
      <c r="M5" s="21" t="s">
        <v>4</v>
      </c>
      <c r="N5" s="22">
        <f>+K5/D5</f>
        <v>4</v>
      </c>
    </row>
    <row r="6" spans="3:14" ht="12">
      <c r="C6" s="28">
        <v>1</v>
      </c>
      <c r="D6" s="28">
        <v>1</v>
      </c>
      <c r="E6" s="28">
        <v>0</v>
      </c>
      <c r="F6" s="28">
        <v>0</v>
      </c>
      <c r="G6" s="28">
        <v>0</v>
      </c>
      <c r="H6" s="28">
        <v>-1</v>
      </c>
      <c r="I6" s="28">
        <v>1</v>
      </c>
      <c r="J6" s="29"/>
      <c r="K6" s="28">
        <v>2</v>
      </c>
      <c r="L6" s="28">
        <v>1000</v>
      </c>
      <c r="M6" s="30" t="s">
        <v>15</v>
      </c>
      <c r="N6" s="29">
        <f>+K6/D6</f>
        <v>2</v>
      </c>
    </row>
    <row r="7" spans="3:18" ht="12">
      <c r="C7" s="22"/>
      <c r="D7" s="22"/>
      <c r="E7" s="22"/>
      <c r="F7" s="22"/>
      <c r="G7" s="22"/>
      <c r="H7" s="24"/>
      <c r="I7" s="22"/>
      <c r="J7" s="22"/>
      <c r="K7" s="24"/>
      <c r="L7" s="24"/>
      <c r="M7" s="24"/>
      <c r="N7" s="22"/>
      <c r="Q7" s="1">
        <v>4</v>
      </c>
      <c r="R7" s="1">
        <v>3</v>
      </c>
    </row>
    <row r="8" spans="2:19" ht="12">
      <c r="B8" t="s">
        <v>9</v>
      </c>
      <c r="C8" s="18">
        <f aca="true" t="shared" si="0" ref="C8:I8">+C3*$L3+C4*$L4+C5*$L5+$L$6*C6</f>
        <v>1000</v>
      </c>
      <c r="D8" s="8">
        <f t="shared" si="0"/>
        <v>1000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-1000</v>
      </c>
      <c r="I8" s="8">
        <f t="shared" si="0"/>
        <v>1000</v>
      </c>
      <c r="K8">
        <f>+K3*L3+K4*L4+K5*L5+K6*L6</f>
        <v>2000</v>
      </c>
      <c r="Q8" s="2" t="s">
        <v>0</v>
      </c>
      <c r="R8" s="2" t="s">
        <v>1</v>
      </c>
      <c r="S8" s="2" t="s">
        <v>5</v>
      </c>
    </row>
    <row r="9" spans="2:19" ht="12">
      <c r="B9" s="17" t="s">
        <v>16</v>
      </c>
      <c r="C9" s="18">
        <f>+C1-C8</f>
        <v>-996</v>
      </c>
      <c r="D9" s="18">
        <f aca="true" t="shared" si="1" ref="D9:I9">+D1-D8</f>
        <v>-997</v>
      </c>
      <c r="E9" s="18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1000</v>
      </c>
      <c r="I9" s="18">
        <f t="shared" si="1"/>
        <v>0</v>
      </c>
      <c r="Q9" s="21">
        <v>3</v>
      </c>
      <c r="R9" s="28">
        <v>8</v>
      </c>
      <c r="S9" s="21">
        <v>52.8</v>
      </c>
    </row>
    <row r="10" spans="17:19" ht="12">
      <c r="Q10" s="21">
        <v>12</v>
      </c>
      <c r="R10" s="28">
        <v>6</v>
      </c>
      <c r="S10" s="21">
        <v>42</v>
      </c>
    </row>
    <row r="11" spans="17:19" ht="12">
      <c r="Q11" s="21">
        <v>9</v>
      </c>
      <c r="R11" s="28">
        <v>9</v>
      </c>
      <c r="S11" s="21">
        <v>36</v>
      </c>
    </row>
    <row r="12" spans="2:19" ht="12">
      <c r="B12" t="s">
        <v>8</v>
      </c>
      <c r="C12" s="1">
        <v>4</v>
      </c>
      <c r="D12" s="1">
        <v>3</v>
      </c>
      <c r="E12" s="1">
        <v>0</v>
      </c>
      <c r="F12" s="1">
        <v>0</v>
      </c>
      <c r="G12" s="1">
        <v>0</v>
      </c>
      <c r="H12" s="15">
        <v>0</v>
      </c>
      <c r="I12" s="15">
        <v>1000</v>
      </c>
      <c r="N12" t="s">
        <v>11</v>
      </c>
      <c r="Q12" s="28">
        <v>1</v>
      </c>
      <c r="R12" s="28">
        <v>1</v>
      </c>
      <c r="S12" s="28">
        <v>2</v>
      </c>
    </row>
    <row r="13" spans="3:13" ht="12">
      <c r="C13" s="2" t="s">
        <v>0</v>
      </c>
      <c r="D13" s="2" t="s">
        <v>1</v>
      </c>
      <c r="E13" s="2" t="s">
        <v>2</v>
      </c>
      <c r="F13" s="2" t="s">
        <v>3</v>
      </c>
      <c r="G13" s="2" t="s">
        <v>4</v>
      </c>
      <c r="H13" s="2" t="s">
        <v>14</v>
      </c>
      <c r="I13" s="2" t="s">
        <v>15</v>
      </c>
      <c r="K13" s="2" t="s">
        <v>5</v>
      </c>
      <c r="L13" s="2" t="s">
        <v>6</v>
      </c>
      <c r="M13" s="2" t="s">
        <v>7</v>
      </c>
    </row>
    <row r="14" spans="3:14" ht="12">
      <c r="C14" s="21">
        <f>+C3-C$6*$D3</f>
        <v>-5</v>
      </c>
      <c r="D14" s="21">
        <f aca="true" t="shared" si="2" ref="D14:K14">+D3-D$6*$D3</f>
        <v>0</v>
      </c>
      <c r="E14" s="21">
        <f t="shared" si="2"/>
        <v>1</v>
      </c>
      <c r="F14" s="21">
        <f t="shared" si="2"/>
        <v>0</v>
      </c>
      <c r="G14" s="21">
        <f t="shared" si="2"/>
        <v>0</v>
      </c>
      <c r="H14" s="21">
        <f t="shared" si="2"/>
        <v>8</v>
      </c>
      <c r="I14" s="21">
        <f t="shared" si="2"/>
        <v>-8</v>
      </c>
      <c r="K14" s="21">
        <f t="shared" si="2"/>
        <v>36.8</v>
      </c>
      <c r="L14" s="21">
        <v>0</v>
      </c>
      <c r="M14" s="21" t="s">
        <v>2</v>
      </c>
      <c r="N14" s="22">
        <f>+K14/C14</f>
        <v>-7.359999999999999</v>
      </c>
    </row>
    <row r="15" spans="3:14" ht="12">
      <c r="C15" s="21">
        <f aca="true" t="shared" si="3" ref="C15:K15">+C4-C$6*$D4</f>
        <v>6</v>
      </c>
      <c r="D15" s="21">
        <f t="shared" si="3"/>
        <v>0</v>
      </c>
      <c r="E15" s="21">
        <f t="shared" si="3"/>
        <v>0</v>
      </c>
      <c r="F15" s="21">
        <f t="shared" si="3"/>
        <v>1</v>
      </c>
      <c r="G15" s="21">
        <f t="shared" si="3"/>
        <v>0</v>
      </c>
      <c r="H15" s="21">
        <f t="shared" si="3"/>
        <v>6</v>
      </c>
      <c r="I15" s="21">
        <f t="shared" si="3"/>
        <v>-6</v>
      </c>
      <c r="K15" s="21">
        <f t="shared" si="3"/>
        <v>30</v>
      </c>
      <c r="L15" s="21">
        <v>0</v>
      </c>
      <c r="M15" s="21" t="s">
        <v>3</v>
      </c>
      <c r="N15" s="22">
        <f>+K15/C15</f>
        <v>5</v>
      </c>
    </row>
    <row r="16" spans="3:19" ht="12">
      <c r="C16" s="21">
        <f aca="true" t="shared" si="4" ref="C16:K16">+C5-C$6*$D5</f>
        <v>0</v>
      </c>
      <c r="D16" s="21">
        <f t="shared" si="4"/>
        <v>0</v>
      </c>
      <c r="E16" s="21">
        <f t="shared" si="4"/>
        <v>0</v>
      </c>
      <c r="F16" s="21">
        <f t="shared" si="4"/>
        <v>0</v>
      </c>
      <c r="G16" s="21">
        <f t="shared" si="4"/>
        <v>1</v>
      </c>
      <c r="H16" s="21">
        <f t="shared" si="4"/>
        <v>9</v>
      </c>
      <c r="I16" s="21">
        <f t="shared" si="4"/>
        <v>-9</v>
      </c>
      <c r="K16" s="21">
        <f t="shared" si="4"/>
        <v>18</v>
      </c>
      <c r="L16" s="21">
        <v>0</v>
      </c>
      <c r="M16" s="21" t="s">
        <v>4</v>
      </c>
      <c r="N16" s="22" t="e">
        <f>+K16/C16</f>
        <v>#DIV/0!</v>
      </c>
      <c r="Q16" s="29">
        <v>3</v>
      </c>
      <c r="R16" s="29">
        <v>1</v>
      </c>
      <c r="S16" s="31">
        <f>+Q16*Q7+R16*R7</f>
        <v>15</v>
      </c>
    </row>
    <row r="17" spans="3:14" ht="12">
      <c r="C17" s="21">
        <v>1</v>
      </c>
      <c r="D17" s="21">
        <v>1</v>
      </c>
      <c r="E17" s="21">
        <v>0</v>
      </c>
      <c r="F17" s="21">
        <v>0</v>
      </c>
      <c r="G17" s="21">
        <v>0</v>
      </c>
      <c r="H17" s="21">
        <v>-1</v>
      </c>
      <c r="I17" s="21">
        <v>1</v>
      </c>
      <c r="K17" s="21">
        <v>2</v>
      </c>
      <c r="L17" s="21">
        <v>3</v>
      </c>
      <c r="M17" s="23" t="s">
        <v>13</v>
      </c>
      <c r="N17" s="22">
        <f>+K17/C17</f>
        <v>2</v>
      </c>
    </row>
    <row r="19" spans="2:11" ht="12">
      <c r="B19" t="s">
        <v>9</v>
      </c>
      <c r="C19" s="18">
        <f>+C14*$L14+C15*$L15+C16*$L16+$L$17*C17</f>
        <v>3</v>
      </c>
      <c r="D19" s="18">
        <f aca="true" t="shared" si="5" ref="D19:I19">+D14*$L14+D15*$L15+D16*$L16+$L$17*D17</f>
        <v>3</v>
      </c>
      <c r="E19" s="18">
        <f t="shared" si="5"/>
        <v>0</v>
      </c>
      <c r="F19" s="18">
        <f t="shared" si="5"/>
        <v>0</v>
      </c>
      <c r="G19" s="18">
        <f t="shared" si="5"/>
        <v>0</v>
      </c>
      <c r="H19" s="18">
        <f t="shared" si="5"/>
        <v>-3</v>
      </c>
      <c r="I19" s="18">
        <f t="shared" si="5"/>
        <v>3</v>
      </c>
      <c r="K19">
        <f>+K14*L14+K15*L15+K16*L16+K17*L17</f>
        <v>6</v>
      </c>
    </row>
    <row r="20" spans="2:21" ht="12">
      <c r="B20" s="17" t="s">
        <v>16</v>
      </c>
      <c r="C20" s="18">
        <f>+C12-C19</f>
        <v>1</v>
      </c>
      <c r="D20" s="18">
        <f aca="true" t="shared" si="6" ref="D20:I20">+D12-D19</f>
        <v>0</v>
      </c>
      <c r="E20" s="18">
        <f t="shared" si="6"/>
        <v>0</v>
      </c>
      <c r="F20" s="18">
        <f t="shared" si="6"/>
        <v>0</v>
      </c>
      <c r="G20" s="18">
        <f t="shared" si="6"/>
        <v>0</v>
      </c>
      <c r="H20" s="18">
        <f t="shared" si="6"/>
        <v>3</v>
      </c>
      <c r="I20" s="18">
        <f t="shared" si="6"/>
        <v>997</v>
      </c>
      <c r="Q20" s="21">
        <v>3</v>
      </c>
      <c r="R20" s="28">
        <v>8</v>
      </c>
      <c r="S20">
        <f>+Q20*$Q$16+R20*$R$16</f>
        <v>17</v>
      </c>
      <c r="T20" s="17" t="s">
        <v>17</v>
      </c>
      <c r="U20" s="21">
        <v>52.8</v>
      </c>
    </row>
    <row r="21" spans="17:21" ht="12">
      <c r="Q21" s="21">
        <v>12</v>
      </c>
      <c r="R21" s="28">
        <v>6</v>
      </c>
      <c r="S21">
        <f>+Q21*$Q$16+R21*$R$16</f>
        <v>42</v>
      </c>
      <c r="T21" s="17" t="s">
        <v>17</v>
      </c>
      <c r="U21" s="21">
        <v>42</v>
      </c>
    </row>
    <row r="22" spans="17:21" ht="12">
      <c r="Q22" s="21">
        <v>9</v>
      </c>
      <c r="R22" s="28">
        <v>9</v>
      </c>
      <c r="S22">
        <f>+Q22*$Q$16+R22*$R$16</f>
        <v>36</v>
      </c>
      <c r="T22" s="17" t="s">
        <v>17</v>
      </c>
      <c r="U22" s="21">
        <v>36</v>
      </c>
    </row>
    <row r="23" spans="17:21" ht="12">
      <c r="Q23" s="28">
        <v>1</v>
      </c>
      <c r="R23" s="28">
        <v>1</v>
      </c>
      <c r="S23">
        <f>+Q23*$Q$16+R23*$R$16</f>
        <v>4</v>
      </c>
      <c r="T23" s="32" t="s">
        <v>18</v>
      </c>
      <c r="U23" s="28">
        <v>2</v>
      </c>
    </row>
  </sheetData>
  <sheetProtection/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"/>
  <sheetViews>
    <sheetView showGridLines="0" zoomScalePageLayoutView="0" workbookViewId="0" topLeftCell="A1">
      <selection activeCell="A1" sqref="A1:A3"/>
    </sheetView>
  </sheetViews>
  <sheetFormatPr defaultColWidth="11.421875" defaultRowHeight="12.75"/>
  <cols>
    <col min="1" max="1" width="2.140625" style="0" customWidth="1"/>
    <col min="2" max="2" width="5.57421875" style="0" bestFit="1" customWidth="1"/>
    <col min="3" max="3" width="7.7109375" style="0" bestFit="1" customWidth="1"/>
    <col min="4" max="4" width="6.8515625" style="0" bestFit="1" customWidth="1"/>
    <col min="5" max="5" width="2.140625" style="0" customWidth="1"/>
    <col min="6" max="6" width="7.00390625" style="0" bestFit="1" customWidth="1"/>
    <col min="7" max="7" width="9.421875" style="0" bestFit="1" customWidth="1"/>
    <col min="8" max="8" width="2.140625" style="0" customWidth="1"/>
    <col min="9" max="9" width="8.140625" style="0" bestFit="1" customWidth="1"/>
    <col min="10" max="10" width="9.421875" style="0" bestFit="1" customWidth="1"/>
  </cols>
  <sheetData>
    <row r="1" ht="12.75">
      <c r="A1" s="72" t="s">
        <v>176</v>
      </c>
    </row>
    <row r="2" ht="12.75">
      <c r="A2" s="72" t="s">
        <v>184</v>
      </c>
    </row>
    <row r="3" ht="12.75">
      <c r="A3" s="72" t="s">
        <v>185</v>
      </c>
    </row>
    <row r="5" ht="12.75" thickBot="1"/>
    <row r="6" spans="2:4" ht="12.75">
      <c r="B6" s="78"/>
      <c r="C6" s="78" t="s">
        <v>167</v>
      </c>
      <c r="D6" s="78"/>
    </row>
    <row r="7" spans="2:4" ht="13.5" thickBot="1">
      <c r="B7" s="79" t="s">
        <v>136</v>
      </c>
      <c r="C7" s="79" t="s">
        <v>137</v>
      </c>
      <c r="D7" s="79" t="s">
        <v>164</v>
      </c>
    </row>
    <row r="8" spans="2:4" ht="12.75" thickBot="1">
      <c r="B8" s="73" t="s">
        <v>186</v>
      </c>
      <c r="C8" s="73" t="s">
        <v>187</v>
      </c>
      <c r="D8" s="76">
        <v>428000</v>
      </c>
    </row>
    <row r="10" ht="12.75" thickBot="1"/>
    <row r="11" spans="2:10" ht="12.75">
      <c r="B11" s="78"/>
      <c r="C11" s="78" t="s">
        <v>177</v>
      </c>
      <c r="D11" s="78"/>
      <c r="F11" s="78" t="s">
        <v>178</v>
      </c>
      <c r="G11" s="78" t="s">
        <v>167</v>
      </c>
      <c r="I11" s="78" t="s">
        <v>181</v>
      </c>
      <c r="J11" s="78" t="s">
        <v>167</v>
      </c>
    </row>
    <row r="12" spans="2:10" ht="13.5" thickBot="1">
      <c r="B12" s="79" t="s">
        <v>136</v>
      </c>
      <c r="C12" s="79" t="s">
        <v>137</v>
      </c>
      <c r="D12" s="79" t="s">
        <v>164</v>
      </c>
      <c r="F12" s="79" t="s">
        <v>179</v>
      </c>
      <c r="G12" s="79" t="s">
        <v>180</v>
      </c>
      <c r="I12" s="79" t="s">
        <v>179</v>
      </c>
      <c r="J12" s="79" t="s">
        <v>180</v>
      </c>
    </row>
    <row r="13" spans="2:10" ht="12">
      <c r="B13" s="75" t="s">
        <v>188</v>
      </c>
      <c r="C13" s="75" t="s">
        <v>12</v>
      </c>
      <c r="D13" s="77">
        <v>8000.000000000003</v>
      </c>
      <c r="F13" s="77">
        <v>0</v>
      </c>
      <c r="G13" s="77">
        <v>279999.99999999994</v>
      </c>
      <c r="I13" s="77">
        <v>8000.000000007279</v>
      </c>
      <c r="J13" s="77">
        <v>428000.0000001346</v>
      </c>
    </row>
    <row r="14" spans="2:10" ht="12.75" thickBot="1">
      <c r="B14" s="73" t="s">
        <v>189</v>
      </c>
      <c r="C14" s="73" t="s">
        <v>13</v>
      </c>
      <c r="D14" s="76">
        <v>13999.999999999996</v>
      </c>
      <c r="F14" s="76">
        <v>0</v>
      </c>
      <c r="G14" s="76">
        <v>148000.00000000006</v>
      </c>
      <c r="I14" s="76">
        <v>13999.999999996813</v>
      </c>
      <c r="J14" s="76">
        <v>427999.9999999363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BH137"/>
  <sheetViews>
    <sheetView zoomScale="80" zoomScaleNormal="80" zoomScalePageLayoutView="0" workbookViewId="0" topLeftCell="AS115">
      <selection activeCell="BB140" sqref="BB140"/>
    </sheetView>
  </sheetViews>
  <sheetFormatPr defaultColWidth="11.421875" defaultRowHeight="12.75"/>
  <cols>
    <col min="2" max="2" width="14.140625" style="0" bestFit="1" customWidth="1"/>
    <col min="3" max="3" width="7.57421875" style="0" bestFit="1" customWidth="1"/>
    <col min="4" max="4" width="6.140625" style="0" bestFit="1" customWidth="1"/>
    <col min="6" max="6" width="6.140625" style="0" bestFit="1" customWidth="1"/>
    <col min="7" max="7" width="3.140625" style="0" bestFit="1" customWidth="1"/>
    <col min="8" max="8" width="2.57421875" style="0" customWidth="1"/>
    <col min="9" max="9" width="2.28125" style="0" bestFit="1" customWidth="1"/>
    <col min="10" max="10" width="2.00390625" style="0" bestFit="1" customWidth="1"/>
    <col min="11" max="31" width="2.57421875" style="0" customWidth="1"/>
    <col min="33" max="33" width="14.421875" style="0" customWidth="1"/>
    <col min="58" max="58" width="20.8515625" style="0" customWidth="1"/>
  </cols>
  <sheetData>
    <row r="1" spans="7:44" ht="12">
      <c r="G1" s="34">
        <f>+G2+1</f>
        <v>22</v>
      </c>
      <c r="AR1" s="17" t="s">
        <v>75</v>
      </c>
    </row>
    <row r="2" spans="7:50" ht="12">
      <c r="G2" s="34">
        <f>+G3+1</f>
        <v>21</v>
      </c>
      <c r="AN2" s="40" t="s">
        <v>94</v>
      </c>
      <c r="AO2" s="42"/>
      <c r="AP2" s="40" t="s">
        <v>95</v>
      </c>
      <c r="AQ2" s="42">
        <v>1100</v>
      </c>
      <c r="AS2" s="17" t="s">
        <v>25</v>
      </c>
      <c r="AT2" s="1">
        <v>18.5</v>
      </c>
      <c r="AU2" s="1">
        <v>20</v>
      </c>
      <c r="AV2" s="1">
        <v>0</v>
      </c>
      <c r="AW2" s="1">
        <v>0</v>
      </c>
      <c r="AX2" s="1">
        <v>0</v>
      </c>
    </row>
    <row r="3" spans="2:54" ht="12">
      <c r="B3" s="40" t="s">
        <v>22</v>
      </c>
      <c r="C3" s="42"/>
      <c r="D3" s="40" t="s">
        <v>19</v>
      </c>
      <c r="E3" s="42">
        <v>1100</v>
      </c>
      <c r="G3" s="34">
        <f>+G4+1</f>
        <v>20</v>
      </c>
      <c r="AN3" s="40" t="s">
        <v>96</v>
      </c>
      <c r="AO3" s="42"/>
      <c r="AP3" s="40" t="s">
        <v>95</v>
      </c>
      <c r="AQ3" s="42">
        <v>1800</v>
      </c>
      <c r="AS3" s="17" t="s">
        <v>26</v>
      </c>
      <c r="AT3" s="2" t="s">
        <v>0</v>
      </c>
      <c r="AU3" s="2" t="s">
        <v>1</v>
      </c>
      <c r="AV3" s="2" t="s">
        <v>2</v>
      </c>
      <c r="AW3" s="2" t="s">
        <v>3</v>
      </c>
      <c r="AX3" s="2" t="s">
        <v>4</v>
      </c>
      <c r="AZ3" s="2" t="s">
        <v>5</v>
      </c>
      <c r="BA3" s="2" t="s">
        <v>6</v>
      </c>
      <c r="BB3" s="2" t="s">
        <v>7</v>
      </c>
    </row>
    <row r="4" spans="2:55" ht="12">
      <c r="B4" s="40" t="s">
        <v>23</v>
      </c>
      <c r="C4" s="42"/>
      <c r="D4" s="40" t="s">
        <v>19</v>
      </c>
      <c r="E4" s="42">
        <v>1800</v>
      </c>
      <c r="F4">
        <f>+E4/0.05</f>
        <v>36000</v>
      </c>
      <c r="G4" s="34">
        <f>+G5+1</f>
        <v>19</v>
      </c>
      <c r="AH4" s="17" t="s">
        <v>63</v>
      </c>
      <c r="AN4" s="17" t="s">
        <v>97</v>
      </c>
      <c r="AP4" s="17" t="s">
        <v>95</v>
      </c>
      <c r="AQ4">
        <v>2000</v>
      </c>
      <c r="AT4">
        <v>0.05</v>
      </c>
      <c r="AU4" s="29">
        <v>0.05</v>
      </c>
      <c r="AV4">
        <v>1</v>
      </c>
      <c r="AW4">
        <v>0</v>
      </c>
      <c r="AX4">
        <v>0</v>
      </c>
      <c r="AZ4">
        <v>1100</v>
      </c>
      <c r="BA4">
        <v>0</v>
      </c>
      <c r="BB4" s="17" t="s">
        <v>76</v>
      </c>
      <c r="BC4">
        <f>+AZ4/AU4</f>
        <v>22000</v>
      </c>
    </row>
    <row r="5" spans="2:55" ht="12">
      <c r="B5" s="17" t="s">
        <v>24</v>
      </c>
      <c r="D5" s="17" t="s">
        <v>19</v>
      </c>
      <c r="E5">
        <v>2000</v>
      </c>
      <c r="G5" s="34">
        <f aca="true" t="shared" si="0" ref="G5:G21">+G6+1</f>
        <v>18</v>
      </c>
      <c r="I5" s="17" t="s">
        <v>30</v>
      </c>
      <c r="AT5" s="29">
        <v>0.05</v>
      </c>
      <c r="AU5" s="29">
        <v>0.1</v>
      </c>
      <c r="AV5" s="29">
        <v>0</v>
      </c>
      <c r="AW5" s="29">
        <v>1</v>
      </c>
      <c r="AX5" s="29">
        <v>0</v>
      </c>
      <c r="AY5" s="29"/>
      <c r="AZ5" s="29">
        <v>1800</v>
      </c>
      <c r="BA5" s="29">
        <v>0</v>
      </c>
      <c r="BB5" s="49" t="s">
        <v>77</v>
      </c>
      <c r="BC5" s="29">
        <f>+AZ5/AU5</f>
        <v>18000</v>
      </c>
    </row>
    <row r="6" spans="7:55" ht="12">
      <c r="G6" s="34">
        <f t="shared" si="0"/>
        <v>17</v>
      </c>
      <c r="AH6" s="17" t="s">
        <v>37</v>
      </c>
      <c r="AI6" s="39" t="s">
        <v>57</v>
      </c>
      <c r="AN6" s="17" t="s">
        <v>99</v>
      </c>
      <c r="AT6">
        <v>0.1</v>
      </c>
      <c r="AU6" s="29">
        <v>0.05</v>
      </c>
      <c r="AV6">
        <v>0</v>
      </c>
      <c r="AW6">
        <v>0</v>
      </c>
      <c r="AX6">
        <v>1</v>
      </c>
      <c r="AZ6">
        <v>2000</v>
      </c>
      <c r="BA6">
        <v>0</v>
      </c>
      <c r="BB6" s="32" t="s">
        <v>78</v>
      </c>
      <c r="BC6">
        <f>+AZ6/AU6</f>
        <v>40000</v>
      </c>
    </row>
    <row r="7" spans="6:50" ht="12">
      <c r="F7">
        <f>+E5/0.05</f>
        <v>40000</v>
      </c>
      <c r="G7" s="34">
        <f t="shared" si="0"/>
        <v>16</v>
      </c>
      <c r="O7" s="17" t="s">
        <v>31</v>
      </c>
      <c r="AS7" s="17" t="s">
        <v>79</v>
      </c>
      <c r="AT7">
        <f>+AT4*$BA$4+AT5*$BA$5+AT6*$BA$6</f>
        <v>0</v>
      </c>
      <c r="AU7" s="29">
        <f>+AU4*$BA$4+AU5*$BA$5+AU6*$BA$6</f>
        <v>0</v>
      </c>
      <c r="AV7">
        <f>+AV4*$BA$4+AV5*$BA$5+AV6*$BA$6</f>
        <v>0</v>
      </c>
      <c r="AW7">
        <f>+AW4*$BA$4+AW5*$BA$5+AW6*$BA$6</f>
        <v>0</v>
      </c>
      <c r="AX7">
        <f>+AX4*$BA$4+AX5*$BA$5+AX6*$BA$6</f>
        <v>0</v>
      </c>
    </row>
    <row r="8" spans="5:54" ht="12">
      <c r="E8">
        <f>1100/0.05</f>
        <v>22000</v>
      </c>
      <c r="G8" s="34">
        <f t="shared" si="0"/>
        <v>15</v>
      </c>
      <c r="AS8" s="17" t="s">
        <v>80</v>
      </c>
      <c r="AT8">
        <f>+AT7-AT2</f>
        <v>-18.5</v>
      </c>
      <c r="AU8">
        <f>+AU7-AU2</f>
        <v>-20</v>
      </c>
      <c r="AV8">
        <f>+AV7-AV2</f>
        <v>0</v>
      </c>
      <c r="AW8">
        <f>+AW7-AW2</f>
        <v>0</v>
      </c>
      <c r="AX8">
        <f>+AX7-AX2</f>
        <v>0</v>
      </c>
      <c r="AZ8" s="50" t="s">
        <v>37</v>
      </c>
      <c r="BA8" s="51">
        <f>+AZ4*BA4+AZ5*BA5+AZ6*BA6</f>
        <v>0</v>
      </c>
      <c r="BB8" s="17" t="s">
        <v>100</v>
      </c>
    </row>
    <row r="9" spans="7:54" ht="12">
      <c r="G9" s="34">
        <f t="shared" si="0"/>
        <v>14</v>
      </c>
      <c r="AG9" s="17" t="s">
        <v>62</v>
      </c>
      <c r="AH9" s="17" t="s">
        <v>61</v>
      </c>
      <c r="AI9" s="39" t="s">
        <v>58</v>
      </c>
      <c r="AJ9" s="17" t="s">
        <v>59</v>
      </c>
      <c r="AK9" s="17" t="s">
        <v>60</v>
      </c>
      <c r="BB9" s="17" t="s">
        <v>82</v>
      </c>
    </row>
    <row r="10" spans="7:54" ht="12">
      <c r="G10" s="34">
        <f t="shared" si="0"/>
        <v>13</v>
      </c>
      <c r="AT10">
        <v>0.05</v>
      </c>
      <c r="AU10" s="29">
        <v>0.05</v>
      </c>
      <c r="AV10">
        <v>1</v>
      </c>
      <c r="AW10">
        <v>0</v>
      </c>
      <c r="AX10">
        <v>0</v>
      </c>
      <c r="AZ10">
        <v>1100</v>
      </c>
      <c r="BB10" s="17" t="s">
        <v>101</v>
      </c>
    </row>
    <row r="11" spans="7:54" ht="12.75">
      <c r="G11" s="34">
        <f t="shared" si="0"/>
        <v>12</v>
      </c>
      <c r="AG11">
        <v>-1</v>
      </c>
      <c r="AH11" s="45" t="s">
        <v>64</v>
      </c>
      <c r="AI11" s="39" t="s">
        <v>66</v>
      </c>
      <c r="AJ11" s="17" t="s">
        <v>65</v>
      </c>
      <c r="AK11">
        <f>-0.05/0.1</f>
        <v>-0.5</v>
      </c>
      <c r="AT11" s="29">
        <f>+AT5/$AU$5</f>
        <v>0.5</v>
      </c>
      <c r="AU11" s="29">
        <f aca="true" t="shared" si="1" ref="AU11:AZ11">+AU5/$AU$5</f>
        <v>1</v>
      </c>
      <c r="AV11" s="29">
        <f t="shared" si="1"/>
        <v>0</v>
      </c>
      <c r="AW11" s="29">
        <f t="shared" si="1"/>
        <v>10</v>
      </c>
      <c r="AX11" s="29">
        <f t="shared" si="1"/>
        <v>0</v>
      </c>
      <c r="AY11" s="29"/>
      <c r="AZ11" s="29">
        <f t="shared" si="1"/>
        <v>18000</v>
      </c>
      <c r="BB11" s="17" t="s">
        <v>102</v>
      </c>
    </row>
    <row r="12" spans="7:54" ht="12">
      <c r="G12" s="34">
        <f t="shared" si="0"/>
        <v>11</v>
      </c>
      <c r="AT12">
        <v>0.1</v>
      </c>
      <c r="AU12" s="29">
        <v>0.05</v>
      </c>
      <c r="AV12">
        <v>0</v>
      </c>
      <c r="AW12">
        <v>0</v>
      </c>
      <c r="AX12">
        <v>1</v>
      </c>
      <c r="AZ12">
        <v>2000</v>
      </c>
      <c r="BB12" s="17" t="s">
        <v>103</v>
      </c>
    </row>
    <row r="13" spans="7:37" ht="12.75">
      <c r="G13" s="34">
        <f t="shared" si="0"/>
        <v>10</v>
      </c>
      <c r="AG13">
        <f>-1*20</f>
        <v>-20</v>
      </c>
      <c r="AH13" s="45" t="s">
        <v>64</v>
      </c>
      <c r="AI13" s="39" t="s">
        <v>67</v>
      </c>
      <c r="AJ13" s="17" t="s">
        <v>65</v>
      </c>
      <c r="AK13">
        <f>-0.05/0.1*20</f>
        <v>-10</v>
      </c>
    </row>
    <row r="14" spans="7:50" ht="12">
      <c r="G14" s="34">
        <f t="shared" si="0"/>
        <v>9</v>
      </c>
      <c r="AS14" s="17" t="s">
        <v>25</v>
      </c>
      <c r="AT14" s="1">
        <v>18.5</v>
      </c>
      <c r="AU14" s="1">
        <v>20</v>
      </c>
      <c r="AV14" s="1">
        <v>0</v>
      </c>
      <c r="AW14" s="1">
        <v>0</v>
      </c>
      <c r="AX14" s="1">
        <v>0</v>
      </c>
    </row>
    <row r="15" spans="7:54" ht="12.75">
      <c r="G15" s="34">
        <f t="shared" si="0"/>
        <v>8</v>
      </c>
      <c r="AF15" s="17" t="s">
        <v>27</v>
      </c>
      <c r="AG15">
        <v>20</v>
      </c>
      <c r="AH15" s="17" t="s">
        <v>65</v>
      </c>
      <c r="AI15" s="17" t="s">
        <v>68</v>
      </c>
      <c r="AJ15" s="45" t="s">
        <v>64</v>
      </c>
      <c r="AK15">
        <v>10</v>
      </c>
      <c r="AS15" s="17" t="s">
        <v>26</v>
      </c>
      <c r="AT15" s="2" t="s">
        <v>0</v>
      </c>
      <c r="AU15" s="2" t="s">
        <v>1</v>
      </c>
      <c r="AV15" s="2" t="s">
        <v>2</v>
      </c>
      <c r="AW15" s="2" t="s">
        <v>3</v>
      </c>
      <c r="AX15" s="2" t="s">
        <v>4</v>
      </c>
      <c r="AZ15" s="2" t="s">
        <v>5</v>
      </c>
      <c r="BA15" s="2" t="s">
        <v>6</v>
      </c>
      <c r="BB15" s="2" t="s">
        <v>7</v>
      </c>
    </row>
    <row r="16" spans="7:55" ht="12">
      <c r="G16" s="34">
        <f t="shared" si="0"/>
        <v>7</v>
      </c>
      <c r="AI16">
        <v>18.5</v>
      </c>
      <c r="AT16" s="42">
        <f>+AT10-AT11*AU10</f>
        <v>0.025</v>
      </c>
      <c r="AU16" s="42">
        <v>0</v>
      </c>
      <c r="AV16" s="42">
        <v>1</v>
      </c>
      <c r="AW16" s="42">
        <f>+AW10-AW11*AU10</f>
        <v>-0.5</v>
      </c>
      <c r="AX16" s="42">
        <v>0</v>
      </c>
      <c r="AY16" s="42"/>
      <c r="AZ16" s="42">
        <f>+AZ10-AZ11*AU10</f>
        <v>200</v>
      </c>
      <c r="BA16" s="42">
        <v>0</v>
      </c>
      <c r="BB16" s="40" t="s">
        <v>76</v>
      </c>
      <c r="BC16" s="57">
        <f>+AZ16/AT16</f>
        <v>8000</v>
      </c>
    </row>
    <row r="17" spans="7:55" ht="12">
      <c r="G17" s="34">
        <f t="shared" si="0"/>
        <v>6</v>
      </c>
      <c r="AI17" s="17" t="s">
        <v>69</v>
      </c>
      <c r="AT17" s="42">
        <v>0.5</v>
      </c>
      <c r="AU17" s="14">
        <v>1</v>
      </c>
      <c r="AV17" s="14">
        <v>0</v>
      </c>
      <c r="AW17" s="14">
        <v>10</v>
      </c>
      <c r="AX17" s="14">
        <v>0</v>
      </c>
      <c r="AY17" s="14"/>
      <c r="AZ17" s="14">
        <v>18000</v>
      </c>
      <c r="BA17" s="14">
        <v>20</v>
      </c>
      <c r="BB17" s="33" t="s">
        <v>1</v>
      </c>
      <c r="BC17" s="56">
        <f>+AZ17/AT17</f>
        <v>36000</v>
      </c>
    </row>
    <row r="18" spans="7:55" ht="12">
      <c r="G18" s="34">
        <f t="shared" si="0"/>
        <v>5</v>
      </c>
      <c r="Z18" s="17" t="s">
        <v>32</v>
      </c>
      <c r="AT18" s="42">
        <f>+AT12-AT11*AU12</f>
        <v>0.07500000000000001</v>
      </c>
      <c r="AU18" s="12">
        <v>0</v>
      </c>
      <c r="AV18" s="14">
        <v>0</v>
      </c>
      <c r="AW18" s="14">
        <f>+AW12-AW11*AU12</f>
        <v>-0.5</v>
      </c>
      <c r="AX18" s="14">
        <v>1</v>
      </c>
      <c r="AY18" s="14"/>
      <c r="AZ18" s="14">
        <f>+AZ12-AZ11*AU12</f>
        <v>1100</v>
      </c>
      <c r="BA18" s="14">
        <v>0</v>
      </c>
      <c r="BB18" s="32" t="s">
        <v>78</v>
      </c>
      <c r="BC18" s="56">
        <f>+AZ18/AT18</f>
        <v>14666.666666666664</v>
      </c>
    </row>
    <row r="19" spans="7:55" ht="12">
      <c r="G19" s="34">
        <f t="shared" si="0"/>
        <v>4</v>
      </c>
      <c r="AS19" s="17" t="s">
        <v>79</v>
      </c>
      <c r="AT19" s="14">
        <f>+AT16*$BA$16+AT17*$BA$17+AT18*$BA$18</f>
        <v>10</v>
      </c>
      <c r="AU19" s="14">
        <f>+AU16*$BA$16+AU17*$BA$17+AU18*$BA$18</f>
        <v>20</v>
      </c>
      <c r="AV19" s="14">
        <f>+AV16*$BA$16+AV17*$BA$17+AV18*$BA$18</f>
        <v>0</v>
      </c>
      <c r="AW19" s="14">
        <f>+AW16*$BA$16+AW17*$BA$17+AW18*$BA$18</f>
        <v>200</v>
      </c>
      <c r="AX19" s="14">
        <f>+AX16*$BA$16+AX17*$BA$17+AX18*$BA$18</f>
        <v>0</v>
      </c>
      <c r="AY19" s="14"/>
      <c r="AZ19" s="14"/>
      <c r="BA19" s="14"/>
      <c r="BB19" s="14"/>
      <c r="BC19" s="14"/>
    </row>
    <row r="20" spans="7:54" ht="12">
      <c r="G20" s="34">
        <f t="shared" si="0"/>
        <v>3</v>
      </c>
      <c r="H20" s="38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S20" s="17" t="s">
        <v>80</v>
      </c>
      <c r="AT20">
        <f>+AT19-AT14</f>
        <v>-8.5</v>
      </c>
      <c r="AU20">
        <f>+AU19-AU14</f>
        <v>0</v>
      </c>
      <c r="AV20">
        <f>+AV19-AV14</f>
        <v>0</v>
      </c>
      <c r="AW20">
        <f>+AW19-AW14</f>
        <v>200</v>
      </c>
      <c r="AX20">
        <f>+AX19-AX14</f>
        <v>0</v>
      </c>
      <c r="AZ20" s="50" t="s">
        <v>37</v>
      </c>
      <c r="BA20" s="51">
        <f>+AZ16*BA16+AZ17*BA17+AZ18*BA18</f>
        <v>360000</v>
      </c>
      <c r="BB20" s="17" t="s">
        <v>100</v>
      </c>
    </row>
    <row r="21" spans="7:54" ht="12">
      <c r="G21" s="34">
        <f t="shared" si="0"/>
        <v>2</v>
      </c>
      <c r="H21" s="38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BB21" s="17" t="s">
        <v>104</v>
      </c>
    </row>
    <row r="22" spans="7:54" ht="12">
      <c r="G22" s="34">
        <f>+G23+1</f>
        <v>1</v>
      </c>
      <c r="H22" s="38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I22" s="17" t="s">
        <v>71</v>
      </c>
      <c r="AT22" s="42">
        <f>+AT16/$AT$16</f>
        <v>1</v>
      </c>
      <c r="AU22" s="42">
        <f aca="true" t="shared" si="2" ref="AU22:AZ22">+AU16/$AT$16</f>
        <v>0</v>
      </c>
      <c r="AV22" s="42">
        <f t="shared" si="2"/>
        <v>40</v>
      </c>
      <c r="AW22" s="42">
        <f t="shared" si="2"/>
        <v>-20</v>
      </c>
      <c r="AX22" s="42">
        <f t="shared" si="2"/>
        <v>0</v>
      </c>
      <c r="AY22" s="42">
        <f t="shared" si="2"/>
        <v>0</v>
      </c>
      <c r="AZ22" s="42">
        <f t="shared" si="2"/>
        <v>8000</v>
      </c>
      <c r="BB22" s="17" t="s">
        <v>105</v>
      </c>
    </row>
    <row r="23" spans="7:54" ht="12">
      <c r="G23" s="34">
        <v>0</v>
      </c>
      <c r="H23" s="35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G23" s="17" t="s">
        <v>62</v>
      </c>
      <c r="AH23" s="17" t="s">
        <v>61</v>
      </c>
      <c r="AI23" s="39" t="s">
        <v>70</v>
      </c>
      <c r="AJ23" s="17" t="s">
        <v>59</v>
      </c>
      <c r="AK23" s="17" t="s">
        <v>60</v>
      </c>
      <c r="AT23" s="42">
        <v>0.5</v>
      </c>
      <c r="AU23">
        <v>1</v>
      </c>
      <c r="AV23">
        <v>0</v>
      </c>
      <c r="AW23">
        <v>10</v>
      </c>
      <c r="AX23">
        <v>0</v>
      </c>
      <c r="AZ23">
        <v>18000</v>
      </c>
      <c r="BB23" s="17" t="s">
        <v>88</v>
      </c>
    </row>
    <row r="24" spans="7:54" ht="12">
      <c r="G24" s="34"/>
      <c r="H24" s="37">
        <v>0</v>
      </c>
      <c r="I24" s="37">
        <v>1</v>
      </c>
      <c r="J24" s="37">
        <f>+I24+1</f>
        <v>2</v>
      </c>
      <c r="K24" s="37">
        <f aca="true" t="shared" si="3" ref="K24:AE24">+J24+1</f>
        <v>3</v>
      </c>
      <c r="L24" s="37">
        <f t="shared" si="3"/>
        <v>4</v>
      </c>
      <c r="M24" s="37">
        <f t="shared" si="3"/>
        <v>5</v>
      </c>
      <c r="N24" s="37">
        <f t="shared" si="3"/>
        <v>6</v>
      </c>
      <c r="O24" s="37">
        <f t="shared" si="3"/>
        <v>7</v>
      </c>
      <c r="P24" s="37">
        <f t="shared" si="3"/>
        <v>8</v>
      </c>
      <c r="Q24" s="37">
        <f t="shared" si="3"/>
        <v>9</v>
      </c>
      <c r="R24" s="37">
        <f t="shared" si="3"/>
        <v>10</v>
      </c>
      <c r="S24" s="37">
        <f t="shared" si="3"/>
        <v>11</v>
      </c>
      <c r="T24" s="37">
        <f t="shared" si="3"/>
        <v>12</v>
      </c>
      <c r="U24" s="37">
        <f t="shared" si="3"/>
        <v>13</v>
      </c>
      <c r="V24" s="37">
        <f t="shared" si="3"/>
        <v>14</v>
      </c>
      <c r="W24" s="37">
        <f t="shared" si="3"/>
        <v>15</v>
      </c>
      <c r="X24" s="37">
        <f t="shared" si="3"/>
        <v>16</v>
      </c>
      <c r="Y24" s="37">
        <f t="shared" si="3"/>
        <v>17</v>
      </c>
      <c r="Z24" s="37">
        <f t="shared" si="3"/>
        <v>18</v>
      </c>
      <c r="AA24" s="37">
        <f t="shared" si="3"/>
        <v>19</v>
      </c>
      <c r="AB24" s="37">
        <f t="shared" si="3"/>
        <v>20</v>
      </c>
      <c r="AC24" s="37">
        <f t="shared" si="3"/>
        <v>21</v>
      </c>
      <c r="AD24" s="37">
        <f t="shared" si="3"/>
        <v>22</v>
      </c>
      <c r="AE24" s="37">
        <f t="shared" si="3"/>
        <v>23</v>
      </c>
      <c r="AT24" s="42">
        <v>0.07500000000000001</v>
      </c>
      <c r="AU24">
        <v>0</v>
      </c>
      <c r="AV24">
        <v>0</v>
      </c>
      <c r="AW24">
        <v>-0.5</v>
      </c>
      <c r="AX24">
        <v>1</v>
      </c>
      <c r="AZ24">
        <v>1100</v>
      </c>
      <c r="BB24" s="17" t="s">
        <v>106</v>
      </c>
    </row>
    <row r="25" spans="3:44" ht="12.75">
      <c r="C25" s="39" t="s">
        <v>43</v>
      </c>
      <c r="G25" s="44" t="s">
        <v>29</v>
      </c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17" t="s">
        <v>41</v>
      </c>
      <c r="AG25">
        <v>-1</v>
      </c>
      <c r="AH25" s="17" t="s">
        <v>65</v>
      </c>
      <c r="AI25" s="39" t="s">
        <v>72</v>
      </c>
      <c r="AJ25" s="45" t="s">
        <v>64</v>
      </c>
      <c r="AK25">
        <f>-0.1/0.05</f>
        <v>-2</v>
      </c>
      <c r="AR25" s="17" t="s">
        <v>98</v>
      </c>
    </row>
    <row r="26" spans="4:50" ht="12">
      <c r="D26" s="17" t="s">
        <v>0</v>
      </c>
      <c r="E26" s="17" t="s">
        <v>1</v>
      </c>
      <c r="G26" s="34"/>
      <c r="AB26" s="17" t="s">
        <v>42</v>
      </c>
      <c r="AS26" s="17" t="s">
        <v>25</v>
      </c>
      <c r="AT26" s="1">
        <v>18.5</v>
      </c>
      <c r="AU26" s="1">
        <v>20</v>
      </c>
      <c r="AV26" s="1">
        <v>0</v>
      </c>
      <c r="AW26" s="1">
        <v>0</v>
      </c>
      <c r="AX26" s="1">
        <v>0</v>
      </c>
    </row>
    <row r="27" spans="4:54" ht="12.75">
      <c r="D27" s="42">
        <v>18.5</v>
      </c>
      <c r="E27" s="42">
        <v>20</v>
      </c>
      <c r="G27" s="34"/>
      <c r="AE27" s="17" t="s">
        <v>28</v>
      </c>
      <c r="AG27">
        <f>-1*18.5</f>
        <v>-18.5</v>
      </c>
      <c r="AH27" s="17" t="s">
        <v>65</v>
      </c>
      <c r="AI27" s="39" t="s">
        <v>73</v>
      </c>
      <c r="AJ27" s="45" t="s">
        <v>64</v>
      </c>
      <c r="AK27">
        <f>-0.1/0.05*18.5</f>
        <v>-37</v>
      </c>
      <c r="AS27" s="17" t="s">
        <v>26</v>
      </c>
      <c r="AT27" s="2" t="s">
        <v>0</v>
      </c>
      <c r="AU27" s="2" t="s">
        <v>1</v>
      </c>
      <c r="AV27" s="2" t="s">
        <v>2</v>
      </c>
      <c r="AW27" s="2" t="s">
        <v>3</v>
      </c>
      <c r="AX27" s="2" t="s">
        <v>4</v>
      </c>
      <c r="AZ27" s="2" t="s">
        <v>5</v>
      </c>
      <c r="BA27" s="2" t="s">
        <v>6</v>
      </c>
      <c r="BB27" s="2" t="s">
        <v>7</v>
      </c>
    </row>
    <row r="28" spans="4:55" ht="12">
      <c r="D28" s="17" t="s">
        <v>37</v>
      </c>
      <c r="E28" s="17" t="s">
        <v>50</v>
      </c>
      <c r="G28" s="34"/>
      <c r="AT28" s="42">
        <v>1</v>
      </c>
      <c r="AU28" s="42">
        <v>0</v>
      </c>
      <c r="AV28" s="42">
        <v>40</v>
      </c>
      <c r="AW28" s="42">
        <v>-20</v>
      </c>
      <c r="AX28" s="42">
        <v>0</v>
      </c>
      <c r="AY28" s="42">
        <v>0</v>
      </c>
      <c r="AZ28" s="42">
        <v>8000</v>
      </c>
      <c r="BA28" s="42">
        <v>18.5</v>
      </c>
      <c r="BB28" s="40" t="s">
        <v>0</v>
      </c>
      <c r="BC28" s="57">
        <f>+AZ28/AT28</f>
        <v>8000</v>
      </c>
    </row>
    <row r="29" spans="3:55" ht="12.75">
      <c r="C29" s="17" t="s">
        <v>29</v>
      </c>
      <c r="D29" s="17" t="s">
        <v>44</v>
      </c>
      <c r="E29">
        <f>0*18.5+0*20</f>
        <v>0</v>
      </c>
      <c r="G29" s="34"/>
      <c r="AG29">
        <v>18.5</v>
      </c>
      <c r="AH29" s="45" t="s">
        <v>64</v>
      </c>
      <c r="AI29" s="17" t="s">
        <v>74</v>
      </c>
      <c r="AJ29" s="17" t="s">
        <v>65</v>
      </c>
      <c r="AK29">
        <v>37</v>
      </c>
      <c r="AT29" s="42">
        <v>0</v>
      </c>
      <c r="AU29" s="14">
        <v>1</v>
      </c>
      <c r="AV29" s="14">
        <f>+AV23-AV22*AT23</f>
        <v>-20</v>
      </c>
      <c r="AW29" s="14">
        <f>+AW23-AW22*AT23</f>
        <v>20</v>
      </c>
      <c r="AX29" s="14">
        <v>0</v>
      </c>
      <c r="AY29" s="14"/>
      <c r="AZ29" s="14">
        <f>+AZ23-AZ22*AT23</f>
        <v>14000</v>
      </c>
      <c r="BA29" s="14">
        <v>20</v>
      </c>
      <c r="BB29" s="33" t="s">
        <v>1</v>
      </c>
      <c r="BC29" s="56" t="e">
        <f>+AZ29/AT29</f>
        <v>#DIV/0!</v>
      </c>
    </row>
    <row r="30" spans="3:55" ht="12">
      <c r="C30" s="17" t="s">
        <v>30</v>
      </c>
      <c r="D30" s="17" t="s">
        <v>45</v>
      </c>
      <c r="E30">
        <f>0*18.5+18*20</f>
        <v>360</v>
      </c>
      <c r="G30" s="34"/>
      <c r="AT30" s="42">
        <v>0</v>
      </c>
      <c r="AU30" s="12">
        <v>0</v>
      </c>
      <c r="AV30" s="14">
        <f>+AV24-AV22*AT24</f>
        <v>-3.0000000000000004</v>
      </c>
      <c r="AW30" s="14">
        <f>+AW24-AW22*AT24</f>
        <v>1.0000000000000002</v>
      </c>
      <c r="AX30" s="14">
        <v>1</v>
      </c>
      <c r="AY30" s="14"/>
      <c r="AZ30" s="14">
        <f>+AZ24-AZ22*AT24</f>
        <v>499.9999999999999</v>
      </c>
      <c r="BA30" s="14">
        <v>0</v>
      </c>
      <c r="BB30" s="32" t="s">
        <v>78</v>
      </c>
      <c r="BC30" s="56" t="e">
        <f>+AZ30/AT30</f>
        <v>#DIV/0!</v>
      </c>
    </row>
    <row r="31" spans="3:55" ht="12">
      <c r="C31" s="40" t="s">
        <v>46</v>
      </c>
      <c r="D31" s="40" t="s">
        <v>47</v>
      </c>
      <c r="E31" s="42">
        <f>8*18.5+14*20</f>
        <v>428</v>
      </c>
      <c r="G31" s="34"/>
      <c r="AI31" s="17">
        <v>20</v>
      </c>
      <c r="AS31" s="17" t="s">
        <v>79</v>
      </c>
      <c r="AT31" s="14">
        <f>+AT28*$BA$28+AT29*$BA$29+AT30*$BA$30</f>
        <v>18.5</v>
      </c>
      <c r="AU31" s="14">
        <f>+AU28*$BA$28+AU29*$BA$29+AU30*$BA$30</f>
        <v>20</v>
      </c>
      <c r="AV31" s="14">
        <f>+AV28*$BA$28+AV29*$BA$29+AV30*$BA$30</f>
        <v>340</v>
      </c>
      <c r="AW31" s="14">
        <f>+AW28*$BA$28+AW29*$BA$29+AW30*$BA$30</f>
        <v>30</v>
      </c>
      <c r="AX31" s="14">
        <f>+AX28*$BA$28+AX29*$BA$29+AX30*$BA$30</f>
        <v>0</v>
      </c>
      <c r="AY31" s="14"/>
      <c r="AZ31" s="14"/>
      <c r="BA31" s="14"/>
      <c r="BB31" s="14"/>
      <c r="BC31" s="14"/>
    </row>
    <row r="32" spans="3:54" ht="12">
      <c r="C32" s="17" t="s">
        <v>32</v>
      </c>
      <c r="D32" s="17" t="s">
        <v>48</v>
      </c>
      <c r="E32">
        <f>18*18.5+4*20</f>
        <v>413</v>
      </c>
      <c r="AI32" s="17" t="s">
        <v>69</v>
      </c>
      <c r="AS32" s="17" t="s">
        <v>80</v>
      </c>
      <c r="AT32" s="42">
        <f>+AT31-AT26</f>
        <v>0</v>
      </c>
      <c r="AU32" s="42">
        <f>+AU31-AU26</f>
        <v>0</v>
      </c>
      <c r="AV32" s="42">
        <f>+AV31-AV26</f>
        <v>340</v>
      </c>
      <c r="AW32" s="42">
        <f>+AW31-AW26</f>
        <v>30</v>
      </c>
      <c r="AX32" s="42">
        <f>+AX31-AX26</f>
        <v>0</v>
      </c>
      <c r="AZ32" s="50" t="s">
        <v>37</v>
      </c>
      <c r="BA32" s="58">
        <f>+AZ28*BA28+AZ29*BA29+AZ30*BA30</f>
        <v>428000</v>
      </c>
      <c r="BB32" s="17" t="s">
        <v>107</v>
      </c>
    </row>
    <row r="33" spans="3:54" ht="12">
      <c r="C33" s="17" t="s">
        <v>42</v>
      </c>
      <c r="D33" s="17" t="s">
        <v>49</v>
      </c>
      <c r="E33">
        <f>20*18.5+0*20</f>
        <v>370</v>
      </c>
      <c r="BB33" s="17" t="s">
        <v>108</v>
      </c>
    </row>
    <row r="34" ht="12">
      <c r="BB34" s="17" t="s">
        <v>109</v>
      </c>
    </row>
    <row r="35" ht="12">
      <c r="BB35" s="17" t="s">
        <v>88</v>
      </c>
    </row>
    <row r="36" ht="12">
      <c r="BB36" s="17" t="s">
        <v>110</v>
      </c>
    </row>
    <row r="37" spans="4:5" ht="12">
      <c r="D37">
        <v>8000</v>
      </c>
      <c r="E37" s="17" t="s">
        <v>51</v>
      </c>
    </row>
    <row r="38" spans="4:5" ht="12">
      <c r="D38">
        <v>14000</v>
      </c>
      <c r="E38" s="17" t="s">
        <v>52</v>
      </c>
    </row>
    <row r="39" spans="5:50" ht="12">
      <c r="E39">
        <v>428000</v>
      </c>
      <c r="AX39" s="17" t="s">
        <v>118</v>
      </c>
    </row>
    <row r="40" ht="12">
      <c r="AX40" s="17" t="s">
        <v>119</v>
      </c>
    </row>
    <row r="41" ht="12">
      <c r="AX41" s="17" t="s">
        <v>120</v>
      </c>
    </row>
    <row r="43" ht="12">
      <c r="AX43">
        <v>0.05</v>
      </c>
    </row>
    <row r="44" ht="12">
      <c r="AX44">
        <v>0.05</v>
      </c>
    </row>
    <row r="45" ht="12">
      <c r="AX45">
        <v>0.05</v>
      </c>
    </row>
    <row r="49" ht="12">
      <c r="AR49" s="17" t="s">
        <v>98</v>
      </c>
    </row>
    <row r="50" spans="45:50" ht="12">
      <c r="AS50" s="17" t="s">
        <v>25</v>
      </c>
      <c r="AT50" s="1">
        <v>18.5</v>
      </c>
      <c r="AU50" s="1">
        <v>20</v>
      </c>
      <c r="AV50" s="1">
        <v>0</v>
      </c>
      <c r="AW50" s="1">
        <v>0</v>
      </c>
      <c r="AX50" s="1">
        <v>0</v>
      </c>
    </row>
    <row r="51" spans="45:54" ht="12">
      <c r="AS51" s="17" t="s">
        <v>26</v>
      </c>
      <c r="AT51" s="21" t="s">
        <v>0</v>
      </c>
      <c r="AU51" s="21" t="s">
        <v>1</v>
      </c>
      <c r="AV51" s="21" t="s">
        <v>2</v>
      </c>
      <c r="AW51" s="21" t="s">
        <v>3</v>
      </c>
      <c r="AX51" s="21" t="s">
        <v>4</v>
      </c>
      <c r="AY51" s="22"/>
      <c r="AZ51" s="21" t="s">
        <v>5</v>
      </c>
      <c r="BA51" s="21" t="s">
        <v>6</v>
      </c>
      <c r="BB51" s="21" t="s">
        <v>7</v>
      </c>
    </row>
    <row r="52" spans="46:55" ht="12">
      <c r="AT52" s="22">
        <v>1</v>
      </c>
      <c r="AU52" s="22">
        <v>0</v>
      </c>
      <c r="AV52" s="67">
        <v>40</v>
      </c>
      <c r="AW52" s="67">
        <v>-20</v>
      </c>
      <c r="AX52" s="67">
        <v>0</v>
      </c>
      <c r="AY52" s="22">
        <v>0</v>
      </c>
      <c r="AZ52" s="22">
        <v>8000</v>
      </c>
      <c r="BA52" s="22">
        <v>18.5</v>
      </c>
      <c r="BB52" s="64" t="s">
        <v>0</v>
      </c>
      <c r="BC52" s="57">
        <v>8000</v>
      </c>
    </row>
    <row r="53" spans="46:55" ht="12">
      <c r="AT53" s="22">
        <v>0</v>
      </c>
      <c r="AU53" s="22">
        <v>1</v>
      </c>
      <c r="AV53" s="67">
        <v>-20</v>
      </c>
      <c r="AW53" s="67">
        <v>20</v>
      </c>
      <c r="AX53" s="67">
        <v>0</v>
      </c>
      <c r="AY53" s="22"/>
      <c r="AZ53" s="22">
        <v>14000</v>
      </c>
      <c r="BA53" s="22">
        <v>20</v>
      </c>
      <c r="BB53" s="64" t="s">
        <v>1</v>
      </c>
      <c r="BC53" s="56" t="e">
        <v>#DIV/0!</v>
      </c>
    </row>
    <row r="54" spans="46:55" ht="12">
      <c r="AT54" s="22">
        <v>0</v>
      </c>
      <c r="AU54" s="24">
        <v>0</v>
      </c>
      <c r="AV54" s="67">
        <v>-3.0000000000000004</v>
      </c>
      <c r="AW54" s="67">
        <v>1.0000000000000002</v>
      </c>
      <c r="AX54" s="67">
        <v>1</v>
      </c>
      <c r="AY54" s="22"/>
      <c r="AZ54" s="22">
        <v>499.9999999999999</v>
      </c>
      <c r="BA54" s="22">
        <v>0</v>
      </c>
      <c r="BB54" s="65" t="s">
        <v>78</v>
      </c>
      <c r="BC54" s="56" t="e">
        <v>#DIV/0!</v>
      </c>
    </row>
    <row r="55" spans="45:55" ht="12">
      <c r="AS55" s="17" t="s">
        <v>79</v>
      </c>
      <c r="AT55" s="22">
        <v>18.5</v>
      </c>
      <c r="AU55" s="22">
        <v>20</v>
      </c>
      <c r="AV55" s="22">
        <v>340</v>
      </c>
      <c r="AW55" s="22">
        <v>30</v>
      </c>
      <c r="AX55" s="22">
        <v>0</v>
      </c>
      <c r="AY55" s="22"/>
      <c r="AZ55" s="22"/>
      <c r="BA55" s="22"/>
      <c r="BB55" s="22"/>
      <c r="BC55" s="14"/>
    </row>
    <row r="56" spans="45:54" ht="12">
      <c r="AS56" s="17" t="s">
        <v>80</v>
      </c>
      <c r="AT56" s="22">
        <v>0</v>
      </c>
      <c r="AU56" s="22">
        <v>0</v>
      </c>
      <c r="AV56" s="22">
        <v>340</v>
      </c>
      <c r="AW56" s="22">
        <v>30</v>
      </c>
      <c r="AX56" s="22">
        <v>0</v>
      </c>
      <c r="AY56" s="22"/>
      <c r="AZ56" s="64" t="s">
        <v>37</v>
      </c>
      <c r="BA56" s="66">
        <v>428000</v>
      </c>
      <c r="BB56" s="64" t="s">
        <v>107</v>
      </c>
    </row>
    <row r="60" spans="46:52" ht="12">
      <c r="AT60" s="67">
        <v>40</v>
      </c>
      <c r="AU60" s="67">
        <v>-20</v>
      </c>
      <c r="AV60" s="67">
        <v>0</v>
      </c>
      <c r="AX60">
        <v>0.05</v>
      </c>
      <c r="AZ60">
        <f>+AT60*$AX$60+AU60*$AX$61+AV60*$AX$62</f>
        <v>1</v>
      </c>
    </row>
    <row r="61" spans="46:52" ht="12">
      <c r="AT61" s="67">
        <v>-20</v>
      </c>
      <c r="AU61" s="67">
        <v>20</v>
      </c>
      <c r="AV61" s="67">
        <v>0</v>
      </c>
      <c r="AW61" s="17" t="s">
        <v>121</v>
      </c>
      <c r="AX61">
        <v>0.05</v>
      </c>
      <c r="AY61" s="39" t="s">
        <v>95</v>
      </c>
      <c r="AZ61">
        <f>+AT61*$AX$60+AU61*$AX$61+AV61*$AX$62</f>
        <v>0</v>
      </c>
    </row>
    <row r="62" spans="46:52" ht="12">
      <c r="AT62" s="67">
        <v>-3.0000000000000004</v>
      </c>
      <c r="AU62" s="67">
        <v>1.0000000000000002</v>
      </c>
      <c r="AV62" s="67">
        <v>1</v>
      </c>
      <c r="AX62">
        <v>0.05</v>
      </c>
      <c r="AZ62">
        <f>+AT62*$AX$60+AU62*$AX$61+AV62*$AX$62</f>
        <v>-0.05</v>
      </c>
    </row>
    <row r="65" ht="12">
      <c r="AR65" s="17" t="s">
        <v>98</v>
      </c>
    </row>
    <row r="66" spans="45:51" ht="12">
      <c r="AS66" s="17" t="s">
        <v>25</v>
      </c>
      <c r="AT66" s="1">
        <v>18.5</v>
      </c>
      <c r="AU66" s="1">
        <v>20</v>
      </c>
      <c r="AV66" s="1">
        <v>0</v>
      </c>
      <c r="AW66" s="1">
        <v>0</v>
      </c>
      <c r="AX66" s="1">
        <v>0</v>
      </c>
      <c r="AY66" s="1">
        <v>10</v>
      </c>
    </row>
    <row r="67" spans="45:55" ht="12">
      <c r="AS67" s="17" t="s">
        <v>26</v>
      </c>
      <c r="AT67" s="21" t="s">
        <v>0</v>
      </c>
      <c r="AU67" s="21" t="s">
        <v>1</v>
      </c>
      <c r="AV67" s="21" t="s">
        <v>2</v>
      </c>
      <c r="AW67" s="21" t="s">
        <v>3</v>
      </c>
      <c r="AX67" s="21" t="s">
        <v>4</v>
      </c>
      <c r="AY67" s="23" t="s">
        <v>119</v>
      </c>
      <c r="BA67" s="21" t="s">
        <v>5</v>
      </c>
      <c r="BB67" s="21" t="s">
        <v>6</v>
      </c>
      <c r="BC67" s="21" t="s">
        <v>7</v>
      </c>
    </row>
    <row r="68" spans="46:56" ht="12">
      <c r="AT68" s="22">
        <v>1</v>
      </c>
      <c r="AU68" s="22">
        <v>0</v>
      </c>
      <c r="AV68" s="67">
        <v>40</v>
      </c>
      <c r="AW68" s="67">
        <v>-20</v>
      </c>
      <c r="AX68" s="67">
        <v>0</v>
      </c>
      <c r="AY68" s="67">
        <v>1</v>
      </c>
      <c r="BA68" s="22">
        <v>8000</v>
      </c>
      <c r="BB68" s="22">
        <v>18.5</v>
      </c>
      <c r="BC68" s="64" t="s">
        <v>0</v>
      </c>
      <c r="BD68" s="57">
        <v>8000</v>
      </c>
    </row>
    <row r="69" spans="46:56" ht="12">
      <c r="AT69" s="22">
        <v>0</v>
      </c>
      <c r="AU69" s="22">
        <v>1</v>
      </c>
      <c r="AV69" s="67">
        <v>-20</v>
      </c>
      <c r="AW69" s="67">
        <v>20</v>
      </c>
      <c r="AX69" s="67">
        <v>0</v>
      </c>
      <c r="AY69" s="67">
        <v>0</v>
      </c>
      <c r="BA69" s="22">
        <v>14000</v>
      </c>
      <c r="BB69" s="22">
        <v>20</v>
      </c>
      <c r="BC69" s="64" t="s">
        <v>1</v>
      </c>
      <c r="BD69" s="56" t="e">
        <v>#DIV/0!</v>
      </c>
    </row>
    <row r="70" spans="46:56" ht="12">
      <c r="AT70" s="22">
        <v>0</v>
      </c>
      <c r="AU70" s="24">
        <v>0</v>
      </c>
      <c r="AV70" s="67">
        <v>-3.0000000000000004</v>
      </c>
      <c r="AW70" s="67">
        <v>1.0000000000000002</v>
      </c>
      <c r="AX70" s="67">
        <v>1</v>
      </c>
      <c r="AY70" s="67">
        <v>-0.05</v>
      </c>
      <c r="BA70" s="22">
        <v>499.9999999999999</v>
      </c>
      <c r="BB70" s="22">
        <v>0</v>
      </c>
      <c r="BC70" s="65" t="s">
        <v>78</v>
      </c>
      <c r="BD70" s="56" t="e">
        <v>#DIV/0!</v>
      </c>
    </row>
    <row r="71" spans="45:56" ht="12">
      <c r="AS71" s="17" t="s">
        <v>79</v>
      </c>
      <c r="AT71" s="22">
        <v>18.5</v>
      </c>
      <c r="AU71" s="22">
        <v>20</v>
      </c>
      <c r="AV71" s="22">
        <v>340</v>
      </c>
      <c r="AW71" s="22">
        <v>30</v>
      </c>
      <c r="AX71" s="22">
        <v>0</v>
      </c>
      <c r="AY71" s="22">
        <f>+AY68*BB68+AY69*BB69+AY70*BB70</f>
        <v>18.5</v>
      </c>
      <c r="BA71" s="22"/>
      <c r="BB71" s="22"/>
      <c r="BC71" s="22"/>
      <c r="BD71" s="14"/>
    </row>
    <row r="72" spans="45:55" ht="12">
      <c r="AS72" s="17" t="s">
        <v>80</v>
      </c>
      <c r="AT72" s="22">
        <v>0</v>
      </c>
      <c r="AU72" s="22">
        <v>0</v>
      </c>
      <c r="AV72" s="22">
        <v>340</v>
      </c>
      <c r="AW72" s="22">
        <v>30</v>
      </c>
      <c r="AX72" s="22">
        <v>0</v>
      </c>
      <c r="AY72" s="22">
        <f>+AY71-AY66</f>
        <v>8.5</v>
      </c>
      <c r="BA72" s="64" t="s">
        <v>37</v>
      </c>
      <c r="BB72" s="66">
        <v>428000</v>
      </c>
      <c r="BC72" s="64" t="s">
        <v>107</v>
      </c>
    </row>
    <row r="92" spans="49:50" ht="12">
      <c r="AW92" s="17" t="s">
        <v>12</v>
      </c>
      <c r="AX92" s="17" t="s">
        <v>13</v>
      </c>
    </row>
    <row r="93" spans="49:50" ht="12">
      <c r="AW93" s="42">
        <v>8000.000000000003</v>
      </c>
      <c r="AX93" s="42">
        <v>13999.999999999996</v>
      </c>
    </row>
    <row r="94" spans="48:50" ht="12">
      <c r="AV94" s="17" t="s">
        <v>122</v>
      </c>
      <c r="AW94">
        <v>18.5</v>
      </c>
      <c r="AX94">
        <v>20</v>
      </c>
    </row>
    <row r="95" spans="48:50" ht="12">
      <c r="AV95" s="17" t="s">
        <v>183</v>
      </c>
      <c r="AW95" s="71">
        <f>+AW94*AW93+AX94*AX93</f>
        <v>428000</v>
      </c>
      <c r="AX95" s="71"/>
    </row>
    <row r="96" spans="49:52" ht="12">
      <c r="AW96">
        <v>0.05</v>
      </c>
      <c r="AX96">
        <v>0.05</v>
      </c>
      <c r="AY96" s="17" t="s">
        <v>19</v>
      </c>
      <c r="AZ96">
        <v>1100</v>
      </c>
    </row>
    <row r="97" spans="49:52" ht="12">
      <c r="AW97">
        <v>0.05</v>
      </c>
      <c r="AX97">
        <v>0.1</v>
      </c>
      <c r="AY97" s="17" t="s">
        <v>19</v>
      </c>
      <c r="AZ97">
        <v>1800</v>
      </c>
    </row>
    <row r="98" spans="49:52" ht="12">
      <c r="AW98">
        <v>0.1</v>
      </c>
      <c r="AX98">
        <v>0.05</v>
      </c>
      <c r="AY98" s="17" t="s">
        <v>19</v>
      </c>
      <c r="AZ98">
        <v>2000</v>
      </c>
    </row>
    <row r="100" spans="50:52" ht="12">
      <c r="AX100">
        <f>+AW96*AW93+AX96*AX93</f>
        <v>1100</v>
      </c>
      <c r="AY100" t="s">
        <v>19</v>
      </c>
      <c r="AZ100">
        <v>1100</v>
      </c>
    </row>
    <row r="101" spans="50:52" ht="12">
      <c r="AX101">
        <f>+AW97*AW93+AX97*AX93</f>
        <v>1800</v>
      </c>
      <c r="AY101" t="s">
        <v>19</v>
      </c>
      <c r="AZ101">
        <v>1800</v>
      </c>
    </row>
    <row r="102" spans="50:52" ht="12">
      <c r="AX102">
        <f>+AW98*AW93+AX98*AX93</f>
        <v>1500.0000000000002</v>
      </c>
      <c r="AY102" t="s">
        <v>19</v>
      </c>
      <c r="AZ102">
        <v>2000</v>
      </c>
    </row>
    <row r="112" spans="51:57" ht="12">
      <c r="AY112" s="17" t="s">
        <v>198</v>
      </c>
      <c r="BE112" s="17" t="s">
        <v>199</v>
      </c>
    </row>
    <row r="114" ht="12">
      <c r="AY114" s="40" t="s">
        <v>183</v>
      </c>
    </row>
    <row r="115" spans="51:53" ht="12">
      <c r="AY115" s="17" t="s">
        <v>122</v>
      </c>
      <c r="AZ115" s="42">
        <v>18.5</v>
      </c>
      <c r="BA115" s="42">
        <v>20</v>
      </c>
    </row>
    <row r="116" spans="51:52" ht="12">
      <c r="AY116" s="17" t="s">
        <v>12</v>
      </c>
      <c r="AZ116" s="17" t="s">
        <v>13</v>
      </c>
    </row>
    <row r="117" spans="51:57" ht="12">
      <c r="AY117" s="81">
        <v>0.05</v>
      </c>
      <c r="AZ117" s="83">
        <v>0.05</v>
      </c>
      <c r="BA117" s="85" t="s">
        <v>19</v>
      </c>
      <c r="BB117" s="42">
        <v>1100</v>
      </c>
      <c r="BE117" s="17" t="s">
        <v>200</v>
      </c>
    </row>
    <row r="118" spans="51:60" ht="12.75">
      <c r="AY118" s="81">
        <v>0.05</v>
      </c>
      <c r="AZ118" s="83">
        <v>0.1</v>
      </c>
      <c r="BA118" s="85" t="s">
        <v>19</v>
      </c>
      <c r="BB118" s="42">
        <v>1800</v>
      </c>
      <c r="BE118" s="17" t="s">
        <v>201</v>
      </c>
      <c r="BF118" s="82" t="s">
        <v>206</v>
      </c>
      <c r="BG118" s="85" t="s">
        <v>205</v>
      </c>
      <c r="BH118">
        <v>18.5</v>
      </c>
    </row>
    <row r="119" spans="51:60" ht="12.75">
      <c r="AY119" s="81">
        <v>0.1</v>
      </c>
      <c r="AZ119" s="83">
        <v>0.05</v>
      </c>
      <c r="BA119" s="85" t="s">
        <v>19</v>
      </c>
      <c r="BB119" s="42">
        <v>2000</v>
      </c>
      <c r="BE119" s="17" t="s">
        <v>202</v>
      </c>
      <c r="BF119" s="84" t="s">
        <v>207</v>
      </c>
      <c r="BG119" s="85" t="s">
        <v>205</v>
      </c>
      <c r="BH119">
        <v>20</v>
      </c>
    </row>
    <row r="123" spans="56:57" ht="12">
      <c r="BD123" s="17" t="s">
        <v>203</v>
      </c>
      <c r="BE123" s="17" t="s">
        <v>204</v>
      </c>
    </row>
    <row r="126" spans="51:57" ht="12">
      <c r="AY126" s="17" t="s">
        <v>198</v>
      </c>
      <c r="BE126" s="17" t="s">
        <v>199</v>
      </c>
    </row>
    <row r="128" ht="12">
      <c r="AY128" s="40" t="s">
        <v>183</v>
      </c>
    </row>
    <row r="129" spans="51:53" ht="12">
      <c r="AY129" s="17" t="s">
        <v>122</v>
      </c>
      <c r="AZ129" s="42">
        <v>18.5</v>
      </c>
      <c r="BA129" s="42">
        <v>20</v>
      </c>
    </row>
    <row r="130" spans="51:52" ht="12">
      <c r="AY130" s="17" t="s">
        <v>12</v>
      </c>
      <c r="AZ130" s="17" t="s">
        <v>13</v>
      </c>
    </row>
    <row r="131" spans="51:57" ht="12">
      <c r="AY131" s="81">
        <v>0.05</v>
      </c>
      <c r="AZ131" s="83">
        <v>0.05</v>
      </c>
      <c r="BA131" s="85" t="s">
        <v>19</v>
      </c>
      <c r="BB131" s="42">
        <v>1100</v>
      </c>
      <c r="BE131" s="17" t="s">
        <v>200</v>
      </c>
    </row>
    <row r="132" spans="51:60" ht="12.75">
      <c r="AY132" s="81">
        <v>-0.05</v>
      </c>
      <c r="AZ132" s="83">
        <v>-0.1</v>
      </c>
      <c r="BA132" s="85" t="s">
        <v>40</v>
      </c>
      <c r="BB132" s="42">
        <v>-1800</v>
      </c>
      <c r="BE132" s="17" t="s">
        <v>201</v>
      </c>
      <c r="BF132" s="82" t="s">
        <v>209</v>
      </c>
      <c r="BG132" s="85" t="s">
        <v>205</v>
      </c>
      <c r="BH132">
        <v>18.5</v>
      </c>
    </row>
    <row r="133" spans="51:60" ht="12.75">
      <c r="AY133" s="81">
        <v>0.1</v>
      </c>
      <c r="AZ133" s="83">
        <v>0.05</v>
      </c>
      <c r="BA133" s="85" t="s">
        <v>19</v>
      </c>
      <c r="BB133" s="42">
        <v>2000</v>
      </c>
      <c r="BE133" s="17" t="s">
        <v>202</v>
      </c>
      <c r="BF133" s="84" t="s">
        <v>210</v>
      </c>
      <c r="BG133" s="85" t="s">
        <v>205</v>
      </c>
      <c r="BH133">
        <v>20</v>
      </c>
    </row>
    <row r="137" spans="56:57" ht="12">
      <c r="BD137" s="17" t="s">
        <v>203</v>
      </c>
      <c r="BE137" s="17" t="s">
        <v>208</v>
      </c>
    </row>
  </sheetData>
  <sheetProtection/>
  <mergeCells count="1">
    <mergeCell ref="AW95:AX95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69"/>
  <sheetViews>
    <sheetView zoomScalePageLayoutView="0" workbookViewId="0" topLeftCell="A52">
      <selection activeCell="K68" sqref="K68"/>
    </sheetView>
  </sheetViews>
  <sheetFormatPr defaultColWidth="11.421875" defaultRowHeight="12.75"/>
  <cols>
    <col min="3" max="3" width="5.421875" style="0" customWidth="1"/>
    <col min="4" max="4" width="6.7109375" style="0" customWidth="1"/>
    <col min="5" max="5" width="9.00390625" style="0" bestFit="1" customWidth="1"/>
    <col min="6" max="7" width="5.140625" style="0" customWidth="1"/>
    <col min="8" max="9" width="5.421875" style="0" bestFit="1" customWidth="1"/>
    <col min="10" max="10" width="4.7109375" style="0" customWidth="1"/>
    <col min="11" max="11" width="5.140625" style="0" customWidth="1"/>
    <col min="12" max="12" width="5.421875" style="0" bestFit="1" customWidth="1"/>
    <col min="13" max="13" width="5.140625" style="0" customWidth="1"/>
    <col min="14" max="14" width="5.8515625" style="0" customWidth="1"/>
  </cols>
  <sheetData>
    <row r="1" spans="2:14" ht="12">
      <c r="B1" t="s">
        <v>8</v>
      </c>
      <c r="C1" s="1">
        <v>4</v>
      </c>
      <c r="D1" s="1">
        <v>3</v>
      </c>
      <c r="E1" s="1">
        <v>0</v>
      </c>
      <c r="F1" s="1">
        <v>0</v>
      </c>
      <c r="G1" s="1">
        <v>0</v>
      </c>
      <c r="H1" s="15">
        <v>0</v>
      </c>
      <c r="I1" s="15">
        <v>-1000</v>
      </c>
      <c r="N1" t="s">
        <v>11</v>
      </c>
    </row>
    <row r="2" spans="3:13" ht="12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14</v>
      </c>
      <c r="I2" s="2" t="s">
        <v>15</v>
      </c>
      <c r="J2" s="16"/>
      <c r="K2" s="2" t="s">
        <v>5</v>
      </c>
      <c r="L2" s="2" t="s">
        <v>6</v>
      </c>
      <c r="M2" s="2" t="s">
        <v>7</v>
      </c>
    </row>
    <row r="3" spans="3:14" ht="12">
      <c r="C3" s="18">
        <v>3</v>
      </c>
      <c r="D3" s="8">
        <v>8</v>
      </c>
      <c r="E3" s="8">
        <v>1</v>
      </c>
      <c r="F3" s="8">
        <v>0</v>
      </c>
      <c r="G3" s="8">
        <v>0</v>
      </c>
      <c r="H3" s="8">
        <v>0</v>
      </c>
      <c r="I3" s="8">
        <v>0</v>
      </c>
      <c r="J3" s="14"/>
      <c r="K3" s="8">
        <v>52.8</v>
      </c>
      <c r="L3" s="8">
        <v>0</v>
      </c>
      <c r="M3" s="8" t="s">
        <v>2</v>
      </c>
      <c r="N3">
        <f>+K3/C3</f>
        <v>17.599999999999998</v>
      </c>
    </row>
    <row r="4" spans="3:14" ht="12">
      <c r="C4" s="18">
        <v>12</v>
      </c>
      <c r="D4" s="8">
        <v>6</v>
      </c>
      <c r="E4" s="8">
        <v>0</v>
      </c>
      <c r="F4" s="8">
        <v>1</v>
      </c>
      <c r="G4" s="8">
        <v>0</v>
      </c>
      <c r="H4" s="8">
        <v>0</v>
      </c>
      <c r="I4" s="8">
        <v>0</v>
      </c>
      <c r="J4" s="14"/>
      <c r="K4" s="8">
        <v>42</v>
      </c>
      <c r="L4" s="8">
        <v>0</v>
      </c>
      <c r="M4" s="8" t="s">
        <v>3</v>
      </c>
      <c r="N4">
        <f>+K4/C4</f>
        <v>3.5</v>
      </c>
    </row>
    <row r="5" spans="3:14" ht="12">
      <c r="C5" s="18">
        <v>9</v>
      </c>
      <c r="D5" s="8">
        <v>9</v>
      </c>
      <c r="E5" s="8">
        <v>0</v>
      </c>
      <c r="F5" s="8">
        <v>0</v>
      </c>
      <c r="G5" s="8">
        <v>1</v>
      </c>
      <c r="H5" s="8">
        <v>0</v>
      </c>
      <c r="I5" s="8">
        <v>0</v>
      </c>
      <c r="J5" s="14"/>
      <c r="K5" s="8">
        <v>36</v>
      </c>
      <c r="L5" s="8">
        <v>0</v>
      </c>
      <c r="M5" s="8" t="s">
        <v>4</v>
      </c>
      <c r="N5">
        <f>+K5/C5</f>
        <v>4</v>
      </c>
    </row>
    <row r="6" spans="3:14" ht="12">
      <c r="C6" s="18">
        <v>1</v>
      </c>
      <c r="D6" s="18">
        <v>1</v>
      </c>
      <c r="E6" s="18">
        <v>0</v>
      </c>
      <c r="F6" s="18">
        <v>0</v>
      </c>
      <c r="G6" s="18">
        <v>0</v>
      </c>
      <c r="H6" s="18">
        <v>-1</v>
      </c>
      <c r="I6" s="18">
        <v>1</v>
      </c>
      <c r="J6" s="19"/>
      <c r="K6" s="18">
        <v>2</v>
      </c>
      <c r="L6" s="18">
        <v>-1000</v>
      </c>
      <c r="M6" s="20" t="s">
        <v>15</v>
      </c>
      <c r="N6" s="19">
        <f>+K6/C6</f>
        <v>2</v>
      </c>
    </row>
    <row r="7" spans="3:13" ht="12">
      <c r="C7" s="19"/>
      <c r="H7" s="12"/>
      <c r="K7" s="7"/>
      <c r="L7" s="7"/>
      <c r="M7" s="7"/>
    </row>
    <row r="8" spans="2:9" ht="12">
      <c r="B8" t="s">
        <v>9</v>
      </c>
      <c r="C8" s="18">
        <f aca="true" t="shared" si="0" ref="C8:I8">+C3*$L3+C4*$L4+C5*$L5+$L$6*C6</f>
        <v>-1000</v>
      </c>
      <c r="D8" s="8">
        <f t="shared" si="0"/>
        <v>-1000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1000</v>
      </c>
      <c r="I8" s="8">
        <f t="shared" si="0"/>
        <v>-1000</v>
      </c>
    </row>
    <row r="9" spans="2:9" ht="12">
      <c r="B9" t="s">
        <v>10</v>
      </c>
      <c r="C9" s="18">
        <f aca="true" t="shared" si="1" ref="C9:I9">+C8-C1</f>
        <v>-1004</v>
      </c>
      <c r="D9" s="8">
        <f t="shared" si="1"/>
        <v>-1003</v>
      </c>
      <c r="E9" s="8">
        <f t="shared" si="1"/>
        <v>0</v>
      </c>
      <c r="F9" s="8">
        <f t="shared" si="1"/>
        <v>0</v>
      </c>
      <c r="G9" s="8">
        <f t="shared" si="1"/>
        <v>0</v>
      </c>
      <c r="H9" s="8">
        <f t="shared" si="1"/>
        <v>1000</v>
      </c>
      <c r="I9" s="8">
        <f t="shared" si="1"/>
        <v>0</v>
      </c>
    </row>
    <row r="12" spans="2:9" ht="12">
      <c r="B12" t="s">
        <v>8</v>
      </c>
      <c r="C12" s="1">
        <v>4</v>
      </c>
      <c r="D12" s="1">
        <v>3</v>
      </c>
      <c r="E12" s="1">
        <v>0</v>
      </c>
      <c r="F12" s="1">
        <v>0</v>
      </c>
      <c r="G12" s="1">
        <v>0</v>
      </c>
      <c r="H12" s="1">
        <v>0</v>
      </c>
      <c r="I12" s="1">
        <v>-1000</v>
      </c>
    </row>
    <row r="13" spans="3:13" ht="12">
      <c r="C13" s="2" t="s">
        <v>0</v>
      </c>
      <c r="D13" s="2" t="s">
        <v>1</v>
      </c>
      <c r="E13" s="2" t="s">
        <v>2</v>
      </c>
      <c r="F13" s="2" t="s">
        <v>3</v>
      </c>
      <c r="G13" s="2" t="s">
        <v>4</v>
      </c>
      <c r="H13" s="2" t="s">
        <v>14</v>
      </c>
      <c r="I13" s="2" t="s">
        <v>15</v>
      </c>
      <c r="J13" s="16"/>
      <c r="K13" s="2" t="s">
        <v>5</v>
      </c>
      <c r="L13" s="2" t="s">
        <v>6</v>
      </c>
      <c r="M13" s="2" t="s">
        <v>7</v>
      </c>
    </row>
    <row r="14" spans="3:13" ht="12">
      <c r="C14" s="8">
        <f aca="true" t="shared" si="2" ref="C14:I14">+C3-$C3*C$6</f>
        <v>0</v>
      </c>
      <c r="D14" s="8">
        <f t="shared" si="2"/>
        <v>5</v>
      </c>
      <c r="E14" s="8">
        <f t="shared" si="2"/>
        <v>1</v>
      </c>
      <c r="F14" s="8">
        <f t="shared" si="2"/>
        <v>0</v>
      </c>
      <c r="G14" s="8">
        <f t="shared" si="2"/>
        <v>0</v>
      </c>
      <c r="H14" s="8">
        <f t="shared" si="2"/>
        <v>3</v>
      </c>
      <c r="I14" s="8">
        <f t="shared" si="2"/>
        <v>-3</v>
      </c>
      <c r="J14" s="14"/>
      <c r="K14" s="8">
        <f>+K3-$C3*K$6</f>
        <v>46.8</v>
      </c>
      <c r="L14" s="8">
        <v>0</v>
      </c>
      <c r="M14" s="8" t="s">
        <v>2</v>
      </c>
    </row>
    <row r="15" spans="3:13" ht="12">
      <c r="C15" s="8">
        <f>+C4-$C4*C$6</f>
        <v>0</v>
      </c>
      <c r="D15" s="8">
        <f aca="true" t="shared" si="3" ref="D15:I15">+D4-$C4*D$6</f>
        <v>-6</v>
      </c>
      <c r="E15" s="8">
        <f t="shared" si="3"/>
        <v>0</v>
      </c>
      <c r="F15" s="8">
        <f t="shared" si="3"/>
        <v>1</v>
      </c>
      <c r="G15" s="8">
        <f t="shared" si="3"/>
        <v>0</v>
      </c>
      <c r="H15" s="8">
        <f t="shared" si="3"/>
        <v>12</v>
      </c>
      <c r="I15" s="8">
        <f t="shared" si="3"/>
        <v>-12</v>
      </c>
      <c r="J15" s="14"/>
      <c r="K15" s="8">
        <f>+K4-$C4*K$6</f>
        <v>18</v>
      </c>
      <c r="L15" s="8">
        <v>0</v>
      </c>
      <c r="M15" s="8" t="s">
        <v>3</v>
      </c>
    </row>
    <row r="16" spans="3:13" ht="12">
      <c r="C16" s="8">
        <f>+C5-$C5*C$6</f>
        <v>0</v>
      </c>
      <c r="D16" s="8">
        <f aca="true" t="shared" si="4" ref="D16:I16">+D5-$C5*D$6</f>
        <v>0</v>
      </c>
      <c r="E16" s="8">
        <f t="shared" si="4"/>
        <v>0</v>
      </c>
      <c r="F16" s="8">
        <f t="shared" si="4"/>
        <v>0</v>
      </c>
      <c r="G16" s="8">
        <f t="shared" si="4"/>
        <v>1</v>
      </c>
      <c r="H16" s="8">
        <f t="shared" si="4"/>
        <v>9</v>
      </c>
      <c r="I16" s="8">
        <f t="shared" si="4"/>
        <v>-9</v>
      </c>
      <c r="J16" s="14"/>
      <c r="K16" s="8">
        <f>+K5-$C5*K$6</f>
        <v>18</v>
      </c>
      <c r="L16" s="8">
        <v>0</v>
      </c>
      <c r="M16" s="8" t="s">
        <v>4</v>
      </c>
    </row>
    <row r="17" spans="3:14" ht="12">
      <c r="C17" s="21">
        <v>1</v>
      </c>
      <c r="D17" s="21">
        <v>1</v>
      </c>
      <c r="E17" s="21">
        <v>0</v>
      </c>
      <c r="F17" s="21">
        <v>0</v>
      </c>
      <c r="G17" s="21">
        <v>0</v>
      </c>
      <c r="H17" s="21">
        <v>-1</v>
      </c>
      <c r="I17" s="21">
        <v>1</v>
      </c>
      <c r="J17" s="22"/>
      <c r="K17" s="21">
        <v>2</v>
      </c>
      <c r="L17" s="21">
        <v>4</v>
      </c>
      <c r="M17" s="23" t="s">
        <v>0</v>
      </c>
      <c r="N17" s="22"/>
    </row>
    <row r="18" spans="3:14" ht="12">
      <c r="C18" s="22"/>
      <c r="D18" s="22"/>
      <c r="E18" s="22"/>
      <c r="F18" s="22"/>
      <c r="G18" s="22"/>
      <c r="H18" s="24"/>
      <c r="I18" s="22"/>
      <c r="J18" s="22"/>
      <c r="K18" s="24"/>
      <c r="L18" s="24"/>
      <c r="M18" s="24"/>
      <c r="N18" s="22"/>
    </row>
    <row r="19" spans="2:11" ht="12">
      <c r="B19" t="s">
        <v>9</v>
      </c>
      <c r="C19" s="18">
        <f>+C14*$L14+C15*$L15+C16*$L16+$L$17*C17</f>
        <v>4</v>
      </c>
      <c r="D19" s="18">
        <f aca="true" t="shared" si="5" ref="D19:I19">+D14*$L14+D15*$L15+D16*$L16+$L$17*D17</f>
        <v>4</v>
      </c>
      <c r="E19" s="18">
        <f t="shared" si="5"/>
        <v>0</v>
      </c>
      <c r="F19" s="18">
        <f t="shared" si="5"/>
        <v>0</v>
      </c>
      <c r="G19" s="18">
        <f t="shared" si="5"/>
        <v>0</v>
      </c>
      <c r="H19" s="18">
        <f t="shared" si="5"/>
        <v>-4</v>
      </c>
      <c r="I19" s="18">
        <f t="shared" si="5"/>
        <v>4</v>
      </c>
      <c r="K19">
        <f>+K14*L14+K15*L15+K16*L16+K17*L17</f>
        <v>8</v>
      </c>
    </row>
    <row r="20" spans="2:9" ht="12">
      <c r="B20" t="s">
        <v>10</v>
      </c>
      <c r="C20" s="18">
        <f aca="true" t="shared" si="6" ref="C20:I20">+C19-C12</f>
        <v>0</v>
      </c>
      <c r="D20" s="8">
        <f t="shared" si="6"/>
        <v>1</v>
      </c>
      <c r="E20" s="8">
        <f t="shared" si="6"/>
        <v>0</v>
      </c>
      <c r="F20" s="8">
        <f t="shared" si="6"/>
        <v>0</v>
      </c>
      <c r="G20" s="8">
        <f t="shared" si="6"/>
        <v>0</v>
      </c>
      <c r="H20" s="8">
        <f t="shared" si="6"/>
        <v>-4</v>
      </c>
      <c r="I20" s="8">
        <f t="shared" si="6"/>
        <v>1004</v>
      </c>
    </row>
    <row r="23" spans="2:9" ht="12">
      <c r="B23" t="s">
        <v>8</v>
      </c>
      <c r="C23" s="1">
        <v>4</v>
      </c>
      <c r="D23" s="1">
        <v>3</v>
      </c>
      <c r="E23" s="1">
        <v>0</v>
      </c>
      <c r="F23" s="1">
        <v>0</v>
      </c>
      <c r="G23" s="1">
        <v>0</v>
      </c>
      <c r="H23" s="1">
        <v>0</v>
      </c>
      <c r="I23" s="1">
        <v>-1000</v>
      </c>
    </row>
    <row r="24" spans="3:13" ht="12">
      <c r="C24" s="2" t="s">
        <v>0</v>
      </c>
      <c r="D24" s="2" t="s">
        <v>1</v>
      </c>
      <c r="E24" s="2" t="s">
        <v>2</v>
      </c>
      <c r="F24" s="2" t="s">
        <v>3</v>
      </c>
      <c r="G24" s="2" t="s">
        <v>4</v>
      </c>
      <c r="H24" s="2" t="s">
        <v>14</v>
      </c>
      <c r="I24" s="2" t="s">
        <v>15</v>
      </c>
      <c r="J24" s="16"/>
      <c r="K24" s="2" t="s">
        <v>5</v>
      </c>
      <c r="L24" s="2" t="s">
        <v>6</v>
      </c>
      <c r="M24" s="2" t="s">
        <v>7</v>
      </c>
    </row>
    <row r="25" spans="3:14" ht="12">
      <c r="C25" s="8">
        <f aca="true" t="shared" si="7" ref="C25:I25">+C14-$C14*C$6</f>
        <v>0</v>
      </c>
      <c r="D25" s="8">
        <f t="shared" si="7"/>
        <v>5</v>
      </c>
      <c r="E25" s="8">
        <f t="shared" si="7"/>
        <v>1</v>
      </c>
      <c r="F25" s="8">
        <f t="shared" si="7"/>
        <v>0</v>
      </c>
      <c r="G25" s="8">
        <f t="shared" si="7"/>
        <v>0</v>
      </c>
      <c r="H25" s="25">
        <f t="shared" si="7"/>
        <v>3</v>
      </c>
      <c r="I25" s="8">
        <f t="shared" si="7"/>
        <v>-3</v>
      </c>
      <c r="J25" s="14"/>
      <c r="K25" s="8">
        <f>+K14-$C14*K$6</f>
        <v>46.8</v>
      </c>
      <c r="L25" s="8">
        <v>0</v>
      </c>
      <c r="M25" s="8" t="s">
        <v>2</v>
      </c>
      <c r="N25">
        <f>+K25/H25</f>
        <v>15.6</v>
      </c>
    </row>
    <row r="26" spans="3:14" ht="12">
      <c r="C26" s="25">
        <f aca="true" t="shared" si="8" ref="C26:I27">+C15-$C15*C$6</f>
        <v>0</v>
      </c>
      <c r="D26" s="25">
        <f t="shared" si="8"/>
        <v>-6</v>
      </c>
      <c r="E26" s="25">
        <f t="shared" si="8"/>
        <v>0</v>
      </c>
      <c r="F26" s="25">
        <f t="shared" si="8"/>
        <v>1</v>
      </c>
      <c r="G26" s="25">
        <f t="shared" si="8"/>
        <v>0</v>
      </c>
      <c r="H26" s="25">
        <f t="shared" si="8"/>
        <v>12</v>
      </c>
      <c r="I26" s="25">
        <f t="shared" si="8"/>
        <v>-12</v>
      </c>
      <c r="J26" s="26"/>
      <c r="K26" s="25">
        <f>+K15-$C15*K$6</f>
        <v>18</v>
      </c>
      <c r="L26" s="25">
        <v>0</v>
      </c>
      <c r="M26" s="25" t="s">
        <v>3</v>
      </c>
      <c r="N26">
        <f>+K26/H26</f>
        <v>1.5</v>
      </c>
    </row>
    <row r="27" spans="3:14" ht="12">
      <c r="C27" s="8">
        <f t="shared" si="8"/>
        <v>0</v>
      </c>
      <c r="D27" s="8">
        <f t="shared" si="8"/>
        <v>0</v>
      </c>
      <c r="E27" s="8">
        <f t="shared" si="8"/>
        <v>0</v>
      </c>
      <c r="F27" s="8">
        <f t="shared" si="8"/>
        <v>0</v>
      </c>
      <c r="G27" s="8">
        <f t="shared" si="8"/>
        <v>1</v>
      </c>
      <c r="H27" s="25">
        <f t="shared" si="8"/>
        <v>9</v>
      </c>
      <c r="I27" s="8">
        <f t="shared" si="8"/>
        <v>-9</v>
      </c>
      <c r="J27" s="14"/>
      <c r="K27" s="8">
        <f>+K16-$C16*K$6</f>
        <v>18</v>
      </c>
      <c r="L27" s="8">
        <v>0</v>
      </c>
      <c r="M27" s="8" t="s">
        <v>4</v>
      </c>
      <c r="N27">
        <f>+K27/H27</f>
        <v>2</v>
      </c>
    </row>
    <row r="28" spans="3:14" ht="12">
      <c r="C28" s="21">
        <v>1</v>
      </c>
      <c r="D28" s="21">
        <v>1</v>
      </c>
      <c r="E28" s="21">
        <v>0</v>
      </c>
      <c r="F28" s="21">
        <v>0</v>
      </c>
      <c r="G28" s="21">
        <v>0</v>
      </c>
      <c r="H28" s="25">
        <v>-1</v>
      </c>
      <c r="I28" s="21">
        <v>1</v>
      </c>
      <c r="J28" s="22"/>
      <c r="K28" s="21">
        <v>2</v>
      </c>
      <c r="L28" s="21">
        <v>4</v>
      </c>
      <c r="M28" s="23" t="s">
        <v>0</v>
      </c>
      <c r="N28">
        <f>+K28/H28</f>
        <v>-2</v>
      </c>
    </row>
    <row r="29" spans="3:13" ht="12">
      <c r="C29" s="22"/>
      <c r="D29" s="22"/>
      <c r="E29" s="22"/>
      <c r="F29" s="22"/>
      <c r="G29" s="22"/>
      <c r="H29" s="24"/>
      <c r="I29" s="22"/>
      <c r="K29" s="24"/>
      <c r="L29" s="24"/>
      <c r="M29" s="24"/>
    </row>
    <row r="30" spans="2:11" ht="12">
      <c r="B30" t="s">
        <v>9</v>
      </c>
      <c r="C30" s="18">
        <f>+C25*$L25+C26*$L26+C27*$L27+$L$17*C28</f>
        <v>4</v>
      </c>
      <c r="D30" s="18">
        <f aca="true" t="shared" si="9" ref="D30:I30">+D25*$L25+D26*$L26+D27*$L27+$L$17*D28</f>
        <v>4</v>
      </c>
      <c r="E30" s="18">
        <f t="shared" si="9"/>
        <v>0</v>
      </c>
      <c r="F30" s="18">
        <f t="shared" si="9"/>
        <v>0</v>
      </c>
      <c r="G30" s="18">
        <f t="shared" si="9"/>
        <v>0</v>
      </c>
      <c r="H30" s="18">
        <f t="shared" si="9"/>
        <v>-4</v>
      </c>
      <c r="I30" s="18">
        <f t="shared" si="9"/>
        <v>4</v>
      </c>
      <c r="K30">
        <f>+K25*L25+K26*L26+K27*L27+K28*L28</f>
        <v>8</v>
      </c>
    </row>
    <row r="31" spans="2:9" ht="12">
      <c r="B31" t="s">
        <v>10</v>
      </c>
      <c r="C31" s="18">
        <f aca="true" t="shared" si="10" ref="C31:I31">+C30-C23</f>
        <v>0</v>
      </c>
      <c r="D31" s="8">
        <f t="shared" si="10"/>
        <v>1</v>
      </c>
      <c r="E31" s="8">
        <f t="shared" si="10"/>
        <v>0</v>
      </c>
      <c r="F31" s="8">
        <f t="shared" si="10"/>
        <v>0</v>
      </c>
      <c r="G31" s="8">
        <f t="shared" si="10"/>
        <v>0</v>
      </c>
      <c r="H31" s="8">
        <f t="shared" si="10"/>
        <v>-4</v>
      </c>
      <c r="I31" s="8">
        <f t="shared" si="10"/>
        <v>1004</v>
      </c>
    </row>
    <row r="34" spans="2:9" ht="12">
      <c r="B34" t="s">
        <v>8</v>
      </c>
      <c r="C34" s="1">
        <v>4</v>
      </c>
      <c r="D34" s="1">
        <v>3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</row>
    <row r="35" spans="3:13" ht="12">
      <c r="C35" s="2" t="s">
        <v>0</v>
      </c>
      <c r="D35" s="2" t="s">
        <v>1</v>
      </c>
      <c r="E35" s="2" t="s">
        <v>2</v>
      </c>
      <c r="F35" s="2" t="s">
        <v>3</v>
      </c>
      <c r="G35" s="2" t="s">
        <v>4</v>
      </c>
      <c r="H35" s="2" t="s">
        <v>14</v>
      </c>
      <c r="I35" s="2" t="s">
        <v>15</v>
      </c>
      <c r="K35" s="2" t="s">
        <v>5</v>
      </c>
      <c r="L35" s="2" t="s">
        <v>6</v>
      </c>
      <c r="M35" s="2" t="s">
        <v>7</v>
      </c>
    </row>
    <row r="36" spans="3:14" ht="12">
      <c r="C36" s="8">
        <f aca="true" t="shared" si="11" ref="C36:I36">+C25-$C25*C$6</f>
        <v>0</v>
      </c>
      <c r="D36" s="8">
        <f t="shared" si="11"/>
        <v>5</v>
      </c>
      <c r="E36" s="8">
        <f t="shared" si="11"/>
        <v>1</v>
      </c>
      <c r="F36" s="8">
        <f t="shared" si="11"/>
        <v>0</v>
      </c>
      <c r="G36" s="8">
        <f t="shared" si="11"/>
        <v>0</v>
      </c>
      <c r="H36" s="25">
        <f t="shared" si="11"/>
        <v>3</v>
      </c>
      <c r="I36" s="8">
        <f t="shared" si="11"/>
        <v>-3</v>
      </c>
      <c r="K36" s="8">
        <f>+K25-$C25*K$6</f>
        <v>46.8</v>
      </c>
      <c r="L36" s="8">
        <v>0</v>
      </c>
      <c r="M36" s="8" t="s">
        <v>2</v>
      </c>
      <c r="N36">
        <f>+K36/H36</f>
        <v>15.6</v>
      </c>
    </row>
    <row r="37" spans="3:14" ht="12">
      <c r="C37" s="25">
        <f>+C26/$H$26</f>
        <v>0</v>
      </c>
      <c r="D37" s="25">
        <f aca="true" t="shared" si="12" ref="D37:K37">+D26/$H$26</f>
        <v>-0.5</v>
      </c>
      <c r="E37" s="25">
        <f t="shared" si="12"/>
        <v>0</v>
      </c>
      <c r="F37" s="25">
        <f t="shared" si="12"/>
        <v>0.08333333333333333</v>
      </c>
      <c r="G37" s="25">
        <f t="shared" si="12"/>
        <v>0</v>
      </c>
      <c r="H37" s="25">
        <f t="shared" si="12"/>
        <v>1</v>
      </c>
      <c r="I37" s="25">
        <f t="shared" si="12"/>
        <v>-1</v>
      </c>
      <c r="K37" s="25">
        <f t="shared" si="12"/>
        <v>1.5</v>
      </c>
      <c r="L37" s="25">
        <v>0</v>
      </c>
      <c r="M37" s="25" t="s">
        <v>3</v>
      </c>
      <c r="N37">
        <f>+K37/H37</f>
        <v>1.5</v>
      </c>
    </row>
    <row r="38" spans="3:14" ht="12">
      <c r="C38" s="8">
        <f aca="true" t="shared" si="13" ref="C38:I38">+C27-$C27*C$6</f>
        <v>0</v>
      </c>
      <c r="D38" s="8">
        <f t="shared" si="13"/>
        <v>0</v>
      </c>
      <c r="E38" s="8">
        <f t="shared" si="13"/>
        <v>0</v>
      </c>
      <c r="F38" s="8">
        <f t="shared" si="13"/>
        <v>0</v>
      </c>
      <c r="G38" s="8">
        <f t="shared" si="13"/>
        <v>1</v>
      </c>
      <c r="H38" s="25">
        <f t="shared" si="13"/>
        <v>9</v>
      </c>
      <c r="I38" s="8">
        <f t="shared" si="13"/>
        <v>-9</v>
      </c>
      <c r="K38" s="8">
        <f>+K27-$C27*K$6</f>
        <v>18</v>
      </c>
      <c r="L38" s="8">
        <v>0</v>
      </c>
      <c r="M38" s="8" t="s">
        <v>4</v>
      </c>
      <c r="N38">
        <f>+K38/H38</f>
        <v>2</v>
      </c>
    </row>
    <row r="39" spans="3:14" ht="12">
      <c r="C39" s="21">
        <v>1</v>
      </c>
      <c r="D39" s="21">
        <v>1</v>
      </c>
      <c r="E39" s="21">
        <v>0</v>
      </c>
      <c r="F39" s="21">
        <v>0</v>
      </c>
      <c r="G39" s="21">
        <v>0</v>
      </c>
      <c r="H39" s="25">
        <v>-1</v>
      </c>
      <c r="I39" s="21">
        <v>1</v>
      </c>
      <c r="K39" s="21">
        <v>2</v>
      </c>
      <c r="L39" s="21">
        <v>4</v>
      </c>
      <c r="M39" s="23" t="s">
        <v>0</v>
      </c>
      <c r="N39">
        <f>+K39/H39</f>
        <v>-2</v>
      </c>
    </row>
    <row r="42" spans="2:9" ht="12">
      <c r="B42" t="s">
        <v>8</v>
      </c>
      <c r="C42" s="1">
        <v>4</v>
      </c>
      <c r="D42" s="1">
        <v>3</v>
      </c>
      <c r="E42" s="1">
        <v>0</v>
      </c>
      <c r="F42" s="1">
        <v>0</v>
      </c>
      <c r="G42" s="1">
        <v>0</v>
      </c>
      <c r="H42" s="1">
        <v>0</v>
      </c>
      <c r="I42" s="1">
        <v>-1000</v>
      </c>
    </row>
    <row r="43" spans="3:13" ht="12">
      <c r="C43" s="2" t="s">
        <v>0</v>
      </c>
      <c r="D43" s="2" t="s">
        <v>1</v>
      </c>
      <c r="E43" s="2" t="s">
        <v>2</v>
      </c>
      <c r="F43" s="2" t="s">
        <v>3</v>
      </c>
      <c r="G43" s="2" t="s">
        <v>4</v>
      </c>
      <c r="H43" s="2" t="s">
        <v>14</v>
      </c>
      <c r="I43" s="2" t="s">
        <v>15</v>
      </c>
      <c r="K43" s="2" t="s">
        <v>5</v>
      </c>
      <c r="L43" s="2" t="s">
        <v>6</v>
      </c>
      <c r="M43" s="2" t="s">
        <v>7</v>
      </c>
    </row>
    <row r="44" spans="3:14" ht="12">
      <c r="C44" s="21">
        <f>+C36-$H36*C$37</f>
        <v>0</v>
      </c>
      <c r="D44" s="25">
        <f aca="true" t="shared" si="14" ref="D44:I44">+D36-$H36*D$37</f>
        <v>6.5</v>
      </c>
      <c r="E44" s="21">
        <f t="shared" si="14"/>
        <v>1</v>
      </c>
      <c r="F44" s="21">
        <f t="shared" si="14"/>
        <v>-0.25</v>
      </c>
      <c r="G44" s="21">
        <f t="shared" si="14"/>
        <v>0</v>
      </c>
      <c r="H44" s="21">
        <f t="shared" si="14"/>
        <v>0</v>
      </c>
      <c r="I44" s="21">
        <f t="shared" si="14"/>
        <v>0</v>
      </c>
      <c r="K44" s="21">
        <f>+K36-$H36*K$37</f>
        <v>42.3</v>
      </c>
      <c r="L44" s="21">
        <v>0</v>
      </c>
      <c r="M44" s="21" t="s">
        <v>2</v>
      </c>
      <c r="N44">
        <f>+K44/D44</f>
        <v>6.507692307692308</v>
      </c>
    </row>
    <row r="45" spans="3:14" ht="12">
      <c r="C45" s="21">
        <v>0</v>
      </c>
      <c r="D45" s="25">
        <v>-0.5</v>
      </c>
      <c r="E45" s="21">
        <v>0</v>
      </c>
      <c r="F45" s="21">
        <v>0.08333333333333333</v>
      </c>
      <c r="G45" s="21">
        <v>0</v>
      </c>
      <c r="H45" s="21">
        <v>1</v>
      </c>
      <c r="I45" s="21">
        <v>-1</v>
      </c>
      <c r="K45" s="21">
        <v>1.5</v>
      </c>
      <c r="L45" s="21">
        <v>0</v>
      </c>
      <c r="M45" s="23" t="s">
        <v>14</v>
      </c>
      <c r="N45">
        <f>+K45/D45</f>
        <v>-3</v>
      </c>
    </row>
    <row r="46" spans="3:14" ht="12">
      <c r="C46" s="25">
        <f aca="true" t="shared" si="15" ref="C46:I46">+C38-$H38*C$37</f>
        <v>0</v>
      </c>
      <c r="D46" s="25">
        <f t="shared" si="15"/>
        <v>4.5</v>
      </c>
      <c r="E46" s="25">
        <f t="shared" si="15"/>
        <v>0</v>
      </c>
      <c r="F46" s="25">
        <f t="shared" si="15"/>
        <v>-0.75</v>
      </c>
      <c r="G46" s="25">
        <f t="shared" si="15"/>
        <v>1</v>
      </c>
      <c r="H46" s="25">
        <f t="shared" si="15"/>
        <v>0</v>
      </c>
      <c r="I46" s="25">
        <f t="shared" si="15"/>
        <v>0</v>
      </c>
      <c r="K46" s="25">
        <f>+K38-$H38*K$37</f>
        <v>4.5</v>
      </c>
      <c r="L46" s="25">
        <v>0</v>
      </c>
      <c r="M46" s="25" t="s">
        <v>4</v>
      </c>
      <c r="N46">
        <f>+K46/D46</f>
        <v>1</v>
      </c>
    </row>
    <row r="47" spans="3:14" ht="12">
      <c r="C47" s="21">
        <f aca="true" t="shared" si="16" ref="C47:I47">+C39-$H39*C$37</f>
        <v>1</v>
      </c>
      <c r="D47" s="25">
        <f t="shared" si="16"/>
        <v>0.5</v>
      </c>
      <c r="E47" s="21">
        <f t="shared" si="16"/>
        <v>0</v>
      </c>
      <c r="F47" s="21">
        <f t="shared" si="16"/>
        <v>0.08333333333333333</v>
      </c>
      <c r="G47" s="21">
        <f t="shared" si="16"/>
        <v>0</v>
      </c>
      <c r="H47" s="21">
        <f t="shared" si="16"/>
        <v>0</v>
      </c>
      <c r="I47" s="21">
        <f t="shared" si="16"/>
        <v>0</v>
      </c>
      <c r="K47" s="21">
        <f>+K39-$H39*K$37</f>
        <v>3.5</v>
      </c>
      <c r="L47" s="21">
        <v>4</v>
      </c>
      <c r="M47" s="23" t="s">
        <v>0</v>
      </c>
      <c r="N47">
        <f>+K47/D47</f>
        <v>7</v>
      </c>
    </row>
    <row r="49" spans="2:11" ht="12">
      <c r="B49" t="s">
        <v>9</v>
      </c>
      <c r="C49" s="18">
        <f>+C44*$L44+C45*$L45+C46*$L46+$L$47*C47</f>
        <v>4</v>
      </c>
      <c r="D49" s="18">
        <f aca="true" t="shared" si="17" ref="D49:I49">+D44*$L44+D45*$L45+D46*$L46+$L$47*D47</f>
        <v>2</v>
      </c>
      <c r="E49" s="18">
        <f t="shared" si="17"/>
        <v>0</v>
      </c>
      <c r="F49" s="18">
        <f t="shared" si="17"/>
        <v>0.3333333333333333</v>
      </c>
      <c r="G49" s="18">
        <f t="shared" si="17"/>
        <v>0</v>
      </c>
      <c r="H49" s="18">
        <f t="shared" si="17"/>
        <v>0</v>
      </c>
      <c r="I49" s="18">
        <f t="shared" si="17"/>
        <v>0</v>
      </c>
      <c r="K49">
        <f>+K44*L44+K45*L45+K46*L46+K47*L47</f>
        <v>14</v>
      </c>
    </row>
    <row r="50" spans="2:9" ht="12">
      <c r="B50" t="s">
        <v>10</v>
      </c>
      <c r="C50" s="18">
        <f aca="true" t="shared" si="18" ref="C50:I50">+C49-C42</f>
        <v>0</v>
      </c>
      <c r="D50" s="8">
        <f t="shared" si="18"/>
        <v>-1</v>
      </c>
      <c r="E50" s="8">
        <f t="shared" si="18"/>
        <v>0</v>
      </c>
      <c r="F50" s="8">
        <f t="shared" si="18"/>
        <v>0.3333333333333333</v>
      </c>
      <c r="G50" s="8">
        <f t="shared" si="18"/>
        <v>0</v>
      </c>
      <c r="H50" s="8">
        <f t="shared" si="18"/>
        <v>0</v>
      </c>
      <c r="I50" s="8">
        <f t="shared" si="18"/>
        <v>1000</v>
      </c>
    </row>
    <row r="53" spans="2:9" ht="12">
      <c r="B53" t="s">
        <v>8</v>
      </c>
      <c r="C53" s="1">
        <v>4</v>
      </c>
      <c r="D53" s="1">
        <v>3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</row>
    <row r="54" spans="3:13" ht="12">
      <c r="C54" s="2" t="s">
        <v>0</v>
      </c>
      <c r="D54" s="2" t="s">
        <v>1</v>
      </c>
      <c r="E54" s="2" t="s">
        <v>2</v>
      </c>
      <c r="F54" s="2" t="s">
        <v>3</v>
      </c>
      <c r="G54" s="2" t="s">
        <v>4</v>
      </c>
      <c r="H54" s="2" t="s">
        <v>14</v>
      </c>
      <c r="I54" s="2" t="s">
        <v>15</v>
      </c>
      <c r="K54" s="2" t="s">
        <v>5</v>
      </c>
      <c r="L54" s="2" t="s">
        <v>6</v>
      </c>
      <c r="M54" s="2" t="s">
        <v>7</v>
      </c>
    </row>
    <row r="55" spans="3:14" ht="12">
      <c r="C55" s="21">
        <v>0</v>
      </c>
      <c r="D55" s="25">
        <v>6.5</v>
      </c>
      <c r="E55" s="21">
        <v>1</v>
      </c>
      <c r="F55" s="21">
        <v>-0.25</v>
      </c>
      <c r="G55" s="21">
        <v>0</v>
      </c>
      <c r="H55" s="21">
        <v>0</v>
      </c>
      <c r="I55" s="21">
        <v>0</v>
      </c>
      <c r="K55" s="21">
        <v>42.3</v>
      </c>
      <c r="L55" s="21">
        <v>0</v>
      </c>
      <c r="M55" s="21" t="s">
        <v>2</v>
      </c>
      <c r="N55">
        <v>6.507692307692308</v>
      </c>
    </row>
    <row r="56" spans="3:14" ht="12">
      <c r="C56" s="21">
        <v>0</v>
      </c>
      <c r="D56" s="25">
        <v>-0.5</v>
      </c>
      <c r="E56" s="21">
        <v>0</v>
      </c>
      <c r="F56" s="21">
        <v>0.08333333333333333</v>
      </c>
      <c r="G56" s="21">
        <v>0</v>
      </c>
      <c r="H56" s="21">
        <v>1</v>
      </c>
      <c r="I56" s="21">
        <v>-1</v>
      </c>
      <c r="K56" s="21">
        <v>1.5</v>
      </c>
      <c r="L56" s="21">
        <v>0</v>
      </c>
      <c r="M56" s="23" t="s">
        <v>14</v>
      </c>
      <c r="N56">
        <v>-3</v>
      </c>
    </row>
    <row r="57" spans="3:14" ht="12">
      <c r="C57" s="25">
        <f>+C46/$D$46</f>
        <v>0</v>
      </c>
      <c r="D57" s="25">
        <f aca="true" t="shared" si="19" ref="D57:K57">+D46/$D$46</f>
        <v>1</v>
      </c>
      <c r="E57" s="25">
        <f t="shared" si="19"/>
        <v>0</v>
      </c>
      <c r="F57" s="25">
        <f t="shared" si="19"/>
        <v>-0.16666666666666666</v>
      </c>
      <c r="G57" s="25">
        <f t="shared" si="19"/>
        <v>0.2222222222222222</v>
      </c>
      <c r="H57" s="25">
        <f t="shared" si="19"/>
        <v>0</v>
      </c>
      <c r="I57" s="25">
        <f t="shared" si="19"/>
        <v>0</v>
      </c>
      <c r="K57" s="25">
        <f t="shared" si="19"/>
        <v>1</v>
      </c>
      <c r="L57" s="25">
        <v>0</v>
      </c>
      <c r="M57" s="25" t="s">
        <v>4</v>
      </c>
      <c r="N57">
        <v>1</v>
      </c>
    </row>
    <row r="58" spans="3:14" ht="12">
      <c r="C58" s="21">
        <v>1</v>
      </c>
      <c r="D58" s="25">
        <v>0.5</v>
      </c>
      <c r="E58" s="21">
        <v>0</v>
      </c>
      <c r="F58" s="21">
        <v>0.08333333333333333</v>
      </c>
      <c r="G58" s="21">
        <v>0</v>
      </c>
      <c r="H58" s="21">
        <v>0</v>
      </c>
      <c r="I58" s="21">
        <v>0</v>
      </c>
      <c r="K58" s="21">
        <v>3.5</v>
      </c>
      <c r="L58" s="21">
        <v>4</v>
      </c>
      <c r="M58" s="23" t="s">
        <v>0</v>
      </c>
      <c r="N58">
        <v>7</v>
      </c>
    </row>
    <row r="61" spans="2:9" ht="12">
      <c r="B61" t="s">
        <v>8</v>
      </c>
      <c r="C61" s="1">
        <v>4</v>
      </c>
      <c r="D61" s="1">
        <v>3</v>
      </c>
      <c r="E61" s="1">
        <v>0</v>
      </c>
      <c r="F61" s="1">
        <v>0</v>
      </c>
      <c r="G61" s="1">
        <v>0</v>
      </c>
      <c r="H61" s="1">
        <v>0</v>
      </c>
      <c r="I61" s="1">
        <v>-1000</v>
      </c>
    </row>
    <row r="62" spans="3:13" ht="12">
      <c r="C62" s="2" t="s">
        <v>0</v>
      </c>
      <c r="D62" s="2" t="s">
        <v>1</v>
      </c>
      <c r="E62" s="2" t="s">
        <v>2</v>
      </c>
      <c r="F62" s="2" t="s">
        <v>3</v>
      </c>
      <c r="G62" s="2" t="s">
        <v>4</v>
      </c>
      <c r="H62" s="2" t="s">
        <v>14</v>
      </c>
      <c r="I62" s="2" t="s">
        <v>15</v>
      </c>
      <c r="K62" s="2" t="s">
        <v>5</v>
      </c>
      <c r="L62" s="2" t="s">
        <v>6</v>
      </c>
      <c r="M62" s="2" t="s">
        <v>7</v>
      </c>
    </row>
    <row r="63" spans="3:14" ht="12">
      <c r="C63" s="21">
        <f>+C55-C$57*$D55</f>
        <v>0</v>
      </c>
      <c r="D63" s="21">
        <f aca="true" t="shared" si="20" ref="D63:K63">+D55-D$57*$D55</f>
        <v>0</v>
      </c>
      <c r="E63" s="21">
        <f t="shared" si="20"/>
        <v>1</v>
      </c>
      <c r="F63" s="21">
        <f t="shared" si="20"/>
        <v>0.8333333333333333</v>
      </c>
      <c r="G63" s="21">
        <f t="shared" si="20"/>
        <v>-1.4444444444444444</v>
      </c>
      <c r="H63" s="21">
        <f t="shared" si="20"/>
        <v>0</v>
      </c>
      <c r="I63" s="21">
        <f t="shared" si="20"/>
        <v>0</v>
      </c>
      <c r="K63" s="21">
        <f t="shared" si="20"/>
        <v>35.8</v>
      </c>
      <c r="L63" s="21">
        <v>0</v>
      </c>
      <c r="M63" s="21" t="s">
        <v>2</v>
      </c>
      <c r="N63">
        <v>6.507692307692308</v>
      </c>
    </row>
    <row r="64" spans="3:14" ht="12">
      <c r="C64" s="21">
        <f aca="true" t="shared" si="21" ref="C64:K64">+C56-C$57*$D56</f>
        <v>0</v>
      </c>
      <c r="D64" s="21">
        <f t="shared" si="21"/>
        <v>0</v>
      </c>
      <c r="E64" s="21">
        <f t="shared" si="21"/>
        <v>0</v>
      </c>
      <c r="F64" s="21">
        <f t="shared" si="21"/>
        <v>0</v>
      </c>
      <c r="G64" s="21">
        <f t="shared" si="21"/>
        <v>0.1111111111111111</v>
      </c>
      <c r="H64" s="21">
        <f t="shared" si="21"/>
        <v>1</v>
      </c>
      <c r="I64" s="21">
        <f t="shared" si="21"/>
        <v>-1</v>
      </c>
      <c r="K64" s="21">
        <f t="shared" si="21"/>
        <v>2</v>
      </c>
      <c r="L64" s="21">
        <v>0</v>
      </c>
      <c r="M64" s="23" t="s">
        <v>14</v>
      </c>
      <c r="N64">
        <v>-3</v>
      </c>
    </row>
    <row r="65" spans="3:14" ht="12">
      <c r="C65" s="21">
        <v>0</v>
      </c>
      <c r="D65" s="21">
        <v>1</v>
      </c>
      <c r="E65" s="21">
        <v>0</v>
      </c>
      <c r="F65" s="21">
        <v>-0.16666666666666666</v>
      </c>
      <c r="G65" s="21">
        <v>0.2222222222222222</v>
      </c>
      <c r="H65" s="21">
        <v>0</v>
      </c>
      <c r="I65" s="21">
        <v>0</v>
      </c>
      <c r="K65" s="21">
        <v>1</v>
      </c>
      <c r="L65" s="25">
        <v>3</v>
      </c>
      <c r="M65" s="27" t="s">
        <v>1</v>
      </c>
      <c r="N65">
        <v>1</v>
      </c>
    </row>
    <row r="66" spans="3:14" ht="12">
      <c r="C66" s="21">
        <f aca="true" t="shared" si="22" ref="C66:K66">+C58-C$57*$D58</f>
        <v>1</v>
      </c>
      <c r="D66" s="21">
        <f t="shared" si="22"/>
        <v>0</v>
      </c>
      <c r="E66" s="21">
        <f t="shared" si="22"/>
        <v>0</v>
      </c>
      <c r="F66" s="21">
        <f t="shared" si="22"/>
        <v>0.16666666666666666</v>
      </c>
      <c r="G66" s="21">
        <f t="shared" si="22"/>
        <v>-0.1111111111111111</v>
      </c>
      <c r="H66" s="21">
        <f t="shared" si="22"/>
        <v>0</v>
      </c>
      <c r="I66" s="21">
        <f t="shared" si="22"/>
        <v>0</v>
      </c>
      <c r="K66" s="21">
        <f t="shared" si="22"/>
        <v>3</v>
      </c>
      <c r="L66" s="21">
        <v>4</v>
      </c>
      <c r="M66" s="23" t="s">
        <v>0</v>
      </c>
      <c r="N66">
        <v>7</v>
      </c>
    </row>
    <row r="68" spans="2:11" ht="12">
      <c r="B68" t="s">
        <v>9</v>
      </c>
      <c r="C68" s="18">
        <f>+C63*$L63+C64*$L64+C65*$L65+$L$47*C66</f>
        <v>4</v>
      </c>
      <c r="D68" s="18">
        <f aca="true" t="shared" si="23" ref="D68:I68">+D63*$L63+D64*$L64+D65*$L65+$L$47*D66</f>
        <v>3</v>
      </c>
      <c r="E68" s="18">
        <f t="shared" si="23"/>
        <v>0</v>
      </c>
      <c r="F68" s="18">
        <f t="shared" si="23"/>
        <v>0.16666666666666663</v>
      </c>
      <c r="G68" s="18">
        <f t="shared" si="23"/>
        <v>0.2222222222222222</v>
      </c>
      <c r="H68" s="18">
        <f t="shared" si="23"/>
        <v>0</v>
      </c>
      <c r="I68" s="18">
        <f t="shared" si="23"/>
        <v>0</v>
      </c>
      <c r="K68">
        <f>+K63*L63+K64*L64+K65*L65+K66*L66</f>
        <v>15</v>
      </c>
    </row>
    <row r="69" spans="2:9" ht="12">
      <c r="B69" t="s">
        <v>10</v>
      </c>
      <c r="C69" s="18">
        <f aca="true" t="shared" si="24" ref="C69:I69">+C68-C61</f>
        <v>0</v>
      </c>
      <c r="D69" s="8">
        <f t="shared" si="24"/>
        <v>0</v>
      </c>
      <c r="E69" s="8">
        <f t="shared" si="24"/>
        <v>0</v>
      </c>
      <c r="F69" s="8">
        <f t="shared" si="24"/>
        <v>0.16666666666666663</v>
      </c>
      <c r="G69" s="8">
        <f t="shared" si="24"/>
        <v>0.2222222222222222</v>
      </c>
      <c r="H69" s="8">
        <f t="shared" si="24"/>
        <v>0</v>
      </c>
      <c r="I69" s="8">
        <f t="shared" si="24"/>
        <v>1000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9"/>
  <sheetViews>
    <sheetView zoomScalePageLayoutView="0" workbookViewId="0" topLeftCell="A22">
      <selection activeCell="E46" sqref="E46"/>
    </sheetView>
  </sheetViews>
  <sheetFormatPr defaultColWidth="11.421875" defaultRowHeight="12.75"/>
  <cols>
    <col min="3" max="7" width="5.140625" style="0" customWidth="1"/>
    <col min="8" max="8" width="4.7109375" style="0" customWidth="1"/>
    <col min="9" max="11" width="5.140625" style="0" customWidth="1"/>
    <col min="12" max="12" width="5.8515625" style="0" customWidth="1"/>
  </cols>
  <sheetData>
    <row r="1" spans="2:12" ht="12">
      <c r="B1" s="17" t="s">
        <v>25</v>
      </c>
      <c r="C1" s="1">
        <v>4</v>
      </c>
      <c r="D1" s="1">
        <v>3</v>
      </c>
      <c r="E1" s="1">
        <v>0</v>
      </c>
      <c r="F1" s="1">
        <v>0</v>
      </c>
      <c r="G1" s="1">
        <v>0</v>
      </c>
      <c r="L1" t="s">
        <v>11</v>
      </c>
    </row>
    <row r="2" spans="2:11" ht="12">
      <c r="B2" s="17" t="s">
        <v>26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I2" s="2" t="s">
        <v>5</v>
      </c>
      <c r="J2" s="2" t="s">
        <v>6</v>
      </c>
      <c r="K2" s="2" t="s">
        <v>7</v>
      </c>
    </row>
    <row r="3" spans="2:12" ht="12">
      <c r="B3" s="17" t="s">
        <v>20</v>
      </c>
      <c r="C3" s="2">
        <v>3</v>
      </c>
      <c r="D3" s="1">
        <v>8</v>
      </c>
      <c r="E3" s="1">
        <v>1</v>
      </c>
      <c r="F3" s="1">
        <v>0</v>
      </c>
      <c r="G3" s="1">
        <v>0</v>
      </c>
      <c r="H3" s="17" t="s">
        <v>19</v>
      </c>
      <c r="I3" s="1">
        <v>52.8</v>
      </c>
      <c r="J3" s="1">
        <v>0</v>
      </c>
      <c r="K3" s="1" t="s">
        <v>2</v>
      </c>
      <c r="L3">
        <f>+'Graf Bicicletas'!I4/'Graf Bicicletas'!C4</f>
        <v>17.599999999999998</v>
      </c>
    </row>
    <row r="4" spans="2:12" ht="12">
      <c r="B4" s="43" t="s">
        <v>21</v>
      </c>
      <c r="C4" s="2">
        <v>12</v>
      </c>
      <c r="D4" s="2">
        <v>6</v>
      </c>
      <c r="E4" s="2">
        <v>0</v>
      </c>
      <c r="F4" s="2">
        <v>1</v>
      </c>
      <c r="G4" s="2">
        <v>0</v>
      </c>
      <c r="H4" s="33" t="s">
        <v>19</v>
      </c>
      <c r="I4" s="2">
        <v>42</v>
      </c>
      <c r="J4" s="1">
        <v>0</v>
      </c>
      <c r="K4" s="1" t="s">
        <v>3</v>
      </c>
      <c r="L4">
        <f>+'Graf Bicicletas'!I5/'Graf Bicicletas'!C5</f>
        <v>3.5</v>
      </c>
    </row>
    <row r="5" spans="2:12" ht="12">
      <c r="B5" s="43" t="s">
        <v>38</v>
      </c>
      <c r="C5" s="2">
        <v>9</v>
      </c>
      <c r="D5" s="8">
        <v>9</v>
      </c>
      <c r="E5" s="8">
        <v>0</v>
      </c>
      <c r="F5" s="8">
        <v>0</v>
      </c>
      <c r="G5" s="8">
        <v>1</v>
      </c>
      <c r="H5" s="17" t="s">
        <v>19</v>
      </c>
      <c r="I5" s="1">
        <v>36</v>
      </c>
      <c r="J5" s="1">
        <v>0</v>
      </c>
      <c r="K5" s="1" t="s">
        <v>4</v>
      </c>
      <c r="L5">
        <f>+'Graf Bicicletas'!I6/'Graf Bicicletas'!C6</f>
        <v>4</v>
      </c>
    </row>
    <row r="6" spans="2:7" ht="12">
      <c r="B6" t="s">
        <v>9</v>
      </c>
      <c r="C6" s="2">
        <f>+'Graf Bicicletas'!C4*$J3+'Graf Bicicletas'!C5*$J4+'Graf Bicicletas'!C6*$J5</f>
        <v>0</v>
      </c>
      <c r="D6" s="1">
        <f>+'Graf Bicicletas'!D4*$J3+'Graf Bicicletas'!D5*$J4+'Graf Bicicletas'!D6*$J5</f>
        <v>0</v>
      </c>
      <c r="E6" s="1">
        <f>+'Graf Bicicletas'!E4*$J3+'Graf Bicicletas'!E5*$J4+'Graf Bicicletas'!E6*$J5</f>
        <v>0</v>
      </c>
      <c r="F6" s="1">
        <f>+'Graf Bicicletas'!F4*$J3+'Graf Bicicletas'!F5*$J4+'Graf Bicicletas'!F6*$J5</f>
        <v>0</v>
      </c>
      <c r="G6" s="1">
        <f>+'Graf Bicicletas'!G4*$J3+'Graf Bicicletas'!G5*$J4+'Graf Bicicletas'!G6*$J5</f>
        <v>0</v>
      </c>
    </row>
    <row r="7" spans="2:7" ht="12">
      <c r="B7" t="s">
        <v>10</v>
      </c>
      <c r="C7" s="2">
        <f>+C6-'Graf Bicicletas'!C2</f>
        <v>-4</v>
      </c>
      <c r="D7" s="1">
        <f>+D6-'Graf Bicicletas'!D2</f>
        <v>-3</v>
      </c>
      <c r="E7" s="1">
        <f>+E6-'Graf Bicicletas'!E2</f>
        <v>0</v>
      </c>
      <c r="F7" s="1">
        <f>+F6-'Graf Bicicletas'!F2</f>
        <v>0</v>
      </c>
      <c r="G7" s="1">
        <f>+G6-'Graf Bicicletas'!G2</f>
        <v>0</v>
      </c>
    </row>
    <row r="9" spans="2:12" ht="12">
      <c r="B9" t="s">
        <v>8</v>
      </c>
      <c r="C9" s="1">
        <v>4</v>
      </c>
      <c r="D9" s="1">
        <v>3</v>
      </c>
      <c r="E9" s="1">
        <v>0</v>
      </c>
      <c r="F9" s="1">
        <v>0</v>
      </c>
      <c r="G9" s="4">
        <v>0</v>
      </c>
      <c r="H9" s="12"/>
      <c r="L9" t="s">
        <v>11</v>
      </c>
    </row>
    <row r="10" spans="3:11" ht="12">
      <c r="C10" s="2" t="s">
        <v>0</v>
      </c>
      <c r="D10" s="2" t="s">
        <v>1</v>
      </c>
      <c r="E10" s="2" t="s">
        <v>2</v>
      </c>
      <c r="F10" s="2" t="s">
        <v>3</v>
      </c>
      <c r="G10" s="3" t="s">
        <v>4</v>
      </c>
      <c r="H10" s="12"/>
      <c r="I10" s="5" t="s">
        <v>5</v>
      </c>
      <c r="J10" s="2" t="s">
        <v>6</v>
      </c>
      <c r="K10" s="2" t="s">
        <v>7</v>
      </c>
    </row>
    <row r="11" spans="3:12" ht="12">
      <c r="C11" s="2">
        <v>3</v>
      </c>
      <c r="D11" s="1">
        <v>8</v>
      </c>
      <c r="E11" s="1">
        <v>1</v>
      </c>
      <c r="F11" s="1">
        <v>0</v>
      </c>
      <c r="G11" s="4">
        <v>0</v>
      </c>
      <c r="H11" s="12"/>
      <c r="I11" s="6">
        <v>52.8</v>
      </c>
      <c r="J11" s="1">
        <v>0</v>
      </c>
      <c r="K11" s="1" t="s">
        <v>2</v>
      </c>
      <c r="L11">
        <f>+I11/C11</f>
        <v>17.599999999999998</v>
      </c>
    </row>
    <row r="12" spans="3:12" ht="12">
      <c r="C12" s="2">
        <f>+'Graf Bicicletas'!C5/'Graf Bicicletas'!$C$5</f>
        <v>1</v>
      </c>
      <c r="D12" s="2">
        <f>+'Graf Bicicletas'!D5/'Graf Bicicletas'!$C$5</f>
        <v>0.5</v>
      </c>
      <c r="E12" s="2">
        <f>+'Graf Bicicletas'!E5/'Graf Bicicletas'!$C$5</f>
        <v>0</v>
      </c>
      <c r="F12" s="2">
        <f>+'Graf Bicicletas'!F5/'Graf Bicicletas'!$C$5</f>
        <v>0.08333333333333333</v>
      </c>
      <c r="G12" s="3">
        <f>+'Graf Bicicletas'!G5/'Graf Bicicletas'!$C$5</f>
        <v>0</v>
      </c>
      <c r="H12" s="12"/>
      <c r="I12" s="5">
        <f>+'Graf Bicicletas'!I5/'Graf Bicicletas'!$C$5</f>
        <v>3.5</v>
      </c>
      <c r="J12" s="1">
        <v>0</v>
      </c>
      <c r="K12" s="1" t="s">
        <v>3</v>
      </c>
      <c r="L12">
        <f>+I12/C12</f>
        <v>3.5</v>
      </c>
    </row>
    <row r="13" spans="3:12" ht="12">
      <c r="C13" s="2">
        <v>9</v>
      </c>
      <c r="D13" s="8">
        <v>9</v>
      </c>
      <c r="E13" s="8">
        <v>0</v>
      </c>
      <c r="F13" s="8">
        <v>0</v>
      </c>
      <c r="G13" s="13">
        <v>1</v>
      </c>
      <c r="H13" s="12"/>
      <c r="I13" s="6">
        <v>36</v>
      </c>
      <c r="J13" s="1">
        <v>0</v>
      </c>
      <c r="K13" s="1" t="s">
        <v>4</v>
      </c>
      <c r="L13">
        <f>+I13/C13</f>
        <v>4</v>
      </c>
    </row>
    <row r="14" spans="2:7" ht="12">
      <c r="B14" t="s">
        <v>9</v>
      </c>
      <c r="C14" s="2">
        <f>+C11*$J11+C12*$J12+C13*$J13</f>
        <v>0</v>
      </c>
      <c r="D14" s="1">
        <f>+D11*$J11+D12*$J12+D13*$J13</f>
        <v>0</v>
      </c>
      <c r="E14" s="1">
        <f>+E11*$J11+E12*$J12+E13*$J13</f>
        <v>0</v>
      </c>
      <c r="F14" s="1">
        <f>+F11*$J11+F12*$J12+F13*$J13</f>
        <v>0</v>
      </c>
      <c r="G14" s="1">
        <f>+G11*$J11+G12*$J12+G13*$J13</f>
        <v>0</v>
      </c>
    </row>
    <row r="15" spans="2:7" ht="12">
      <c r="B15" t="s">
        <v>10</v>
      </c>
      <c r="C15" s="2">
        <f>+C14-C9</f>
        <v>-4</v>
      </c>
      <c r="D15" s="1">
        <f>+D14-D9</f>
        <v>-3</v>
      </c>
      <c r="E15" s="1">
        <f>+E14-E9</f>
        <v>0</v>
      </c>
      <c r="F15" s="1">
        <f>+F14-F9</f>
        <v>0</v>
      </c>
      <c r="G15" s="1">
        <f>+G14-G9</f>
        <v>0</v>
      </c>
    </row>
    <row r="17" spans="2:12" ht="12">
      <c r="B17" t="s">
        <v>8</v>
      </c>
      <c r="C17" s="1">
        <v>4</v>
      </c>
      <c r="D17" s="1">
        <v>3</v>
      </c>
      <c r="E17" s="1">
        <v>0</v>
      </c>
      <c r="F17" s="1">
        <v>0</v>
      </c>
      <c r="G17" s="1">
        <v>0</v>
      </c>
      <c r="L17" t="s">
        <v>11</v>
      </c>
    </row>
    <row r="18" spans="3:11" ht="12">
      <c r="C18" s="2" t="s">
        <v>0</v>
      </c>
      <c r="D18" s="9" t="s">
        <v>1</v>
      </c>
      <c r="E18" s="2" t="s">
        <v>2</v>
      </c>
      <c r="F18" s="2" t="s">
        <v>3</v>
      </c>
      <c r="G18" s="3" t="s">
        <v>4</v>
      </c>
      <c r="H18" s="12"/>
      <c r="I18" s="5" t="s">
        <v>5</v>
      </c>
      <c r="J18" s="2" t="s">
        <v>6</v>
      </c>
      <c r="K18" s="2" t="s">
        <v>7</v>
      </c>
    </row>
    <row r="19" spans="3:12" ht="12">
      <c r="C19" s="1">
        <f>+C11-C$12*$C11</f>
        <v>0</v>
      </c>
      <c r="D19" s="9">
        <f>+D11-D$12*$C11</f>
        <v>6.5</v>
      </c>
      <c r="E19" s="1">
        <f>+E11-E$12*$C11</f>
        <v>1</v>
      </c>
      <c r="F19" s="1">
        <f>+F11-F$12*$C11</f>
        <v>-0.25</v>
      </c>
      <c r="G19" s="4">
        <f>+G11-G$12*$C11</f>
        <v>0</v>
      </c>
      <c r="H19" s="12"/>
      <c r="I19" s="6">
        <f>+I11-I$12*$C11</f>
        <v>42.3</v>
      </c>
      <c r="J19" s="1">
        <v>0</v>
      </c>
      <c r="K19" s="1" t="s">
        <v>2</v>
      </c>
      <c r="L19">
        <f>+I19/D19</f>
        <v>6.507692307692308</v>
      </c>
    </row>
    <row r="20" spans="3:12" ht="12">
      <c r="C20" s="1">
        <v>1</v>
      </c>
      <c r="D20" s="9">
        <v>0.5</v>
      </c>
      <c r="E20" s="1">
        <v>0</v>
      </c>
      <c r="F20" s="1">
        <v>0.08333333333333333</v>
      </c>
      <c r="G20" s="4">
        <v>0</v>
      </c>
      <c r="H20" s="12"/>
      <c r="I20" s="6">
        <v>3.5</v>
      </c>
      <c r="J20" s="1">
        <v>4</v>
      </c>
      <c r="K20" s="1" t="s">
        <v>12</v>
      </c>
      <c r="L20">
        <f>+I20/D20</f>
        <v>7</v>
      </c>
    </row>
    <row r="21" spans="3:12" ht="12">
      <c r="C21" s="9">
        <f>+C13-C$12*$C13</f>
        <v>0</v>
      </c>
      <c r="D21" s="9">
        <f aca="true" t="shared" si="0" ref="D21:I21">+D13-D$12*$C13</f>
        <v>4.5</v>
      </c>
      <c r="E21" s="9">
        <f t="shared" si="0"/>
        <v>0</v>
      </c>
      <c r="F21" s="9">
        <f t="shared" si="0"/>
        <v>-0.75</v>
      </c>
      <c r="G21" s="10">
        <f t="shared" si="0"/>
        <v>1</v>
      </c>
      <c r="H21" s="12"/>
      <c r="I21" s="11">
        <f t="shared" si="0"/>
        <v>4.5</v>
      </c>
      <c r="J21" s="9">
        <v>0</v>
      </c>
      <c r="K21" s="9" t="s">
        <v>4</v>
      </c>
      <c r="L21">
        <f>+I21/D21</f>
        <v>1</v>
      </c>
    </row>
    <row r="22" spans="2:7" ht="12">
      <c r="B22" t="s">
        <v>9</v>
      </c>
      <c r="C22" s="8">
        <f>+C19*$J19+C20*$J20+C21*$J21</f>
        <v>4</v>
      </c>
      <c r="D22" s="9">
        <f>+D19*$J19+D20*$J20+D21*$J21</f>
        <v>2</v>
      </c>
      <c r="E22" s="1">
        <f>+E19*$J19+E20*$J20+E21*$J21</f>
        <v>0</v>
      </c>
      <c r="F22" s="1">
        <f>+F19*$J19+F20*$J20+F21*$J21</f>
        <v>0.3333333333333333</v>
      </c>
      <c r="G22" s="1">
        <f>+G19*$J19+G20*$J20+G21*$J21</f>
        <v>0</v>
      </c>
    </row>
    <row r="23" spans="2:10" ht="12">
      <c r="B23" t="s">
        <v>10</v>
      </c>
      <c r="C23" s="8">
        <f>+C22-C17</f>
        <v>0</v>
      </c>
      <c r="D23" s="9">
        <f>+D22-D17</f>
        <v>-1</v>
      </c>
      <c r="E23" s="1">
        <f>+E22-E17</f>
        <v>0</v>
      </c>
      <c r="F23" s="1">
        <f>+F22-F17</f>
        <v>0.3333333333333333</v>
      </c>
      <c r="G23" s="1">
        <f>+G22-G17</f>
        <v>0</v>
      </c>
      <c r="I23" s="68">
        <f>+I19*J19+J20*I20+I21*J21</f>
        <v>14</v>
      </c>
      <c r="J23" s="68"/>
    </row>
    <row r="25" spans="2:7" ht="12">
      <c r="B25" t="s">
        <v>8</v>
      </c>
      <c r="C25" s="1">
        <v>4</v>
      </c>
      <c r="D25" s="1">
        <v>3</v>
      </c>
      <c r="E25" s="1">
        <v>0</v>
      </c>
      <c r="F25" s="1">
        <v>0</v>
      </c>
      <c r="G25" s="1">
        <v>0</v>
      </c>
    </row>
    <row r="26" spans="3:11" ht="12">
      <c r="C26" s="2" t="s">
        <v>0</v>
      </c>
      <c r="D26" s="9" t="s">
        <v>1</v>
      </c>
      <c r="E26" s="2" t="s">
        <v>2</v>
      </c>
      <c r="F26" s="2" t="s">
        <v>3</v>
      </c>
      <c r="G26" s="3" t="s">
        <v>4</v>
      </c>
      <c r="H26" s="7"/>
      <c r="I26" s="5" t="s">
        <v>5</v>
      </c>
      <c r="J26" s="2" t="s">
        <v>6</v>
      </c>
      <c r="K26" s="2" t="s">
        <v>7</v>
      </c>
    </row>
    <row r="27" spans="3:11" ht="12">
      <c r="C27" s="1">
        <f>+C19-C$12*$C19</f>
        <v>0</v>
      </c>
      <c r="D27" s="9">
        <f>+D19-D$12*$C19</f>
        <v>6.5</v>
      </c>
      <c r="E27" s="1">
        <f>+E19-E$12*$C19</f>
        <v>1</v>
      </c>
      <c r="F27" s="1">
        <f>+F19-F$12*$C19</f>
        <v>-0.25</v>
      </c>
      <c r="G27" s="4">
        <f>+G19-G$12*$C19</f>
        <v>0</v>
      </c>
      <c r="H27" s="7"/>
      <c r="I27" s="6">
        <f>+I19-I$12*$C19</f>
        <v>42.3</v>
      </c>
      <c r="J27" s="1">
        <v>0</v>
      </c>
      <c r="K27" s="1" t="s">
        <v>2</v>
      </c>
    </row>
    <row r="28" spans="3:11" ht="12">
      <c r="C28" s="1">
        <v>1</v>
      </c>
      <c r="D28" s="9">
        <v>0.5</v>
      </c>
      <c r="E28" s="1">
        <v>0</v>
      </c>
      <c r="F28" s="1">
        <v>0.08333333333333333</v>
      </c>
      <c r="G28" s="4">
        <v>0</v>
      </c>
      <c r="H28" s="7"/>
      <c r="I28" s="6">
        <v>3.5</v>
      </c>
      <c r="J28" s="1">
        <v>4</v>
      </c>
      <c r="K28" s="1" t="s">
        <v>12</v>
      </c>
    </row>
    <row r="29" spans="3:11" ht="12">
      <c r="C29" s="9">
        <f>+C21/$D$21</f>
        <v>0</v>
      </c>
      <c r="D29" s="9">
        <f aca="true" t="shared" si="1" ref="D29:I29">+D21/$D$21</f>
        <v>1</v>
      </c>
      <c r="E29" s="9">
        <f t="shared" si="1"/>
        <v>0</v>
      </c>
      <c r="F29" s="9">
        <f t="shared" si="1"/>
        <v>-0.16666666666666666</v>
      </c>
      <c r="G29" s="10">
        <f t="shared" si="1"/>
        <v>0.2222222222222222</v>
      </c>
      <c r="H29" s="12"/>
      <c r="I29" s="11">
        <f t="shared" si="1"/>
        <v>1</v>
      </c>
      <c r="J29" s="9">
        <v>0</v>
      </c>
      <c r="K29" s="9" t="s">
        <v>4</v>
      </c>
    </row>
    <row r="30" spans="2:8" ht="12">
      <c r="B30" t="s">
        <v>9</v>
      </c>
      <c r="C30" s="8">
        <f>+C27*$J27+C28*$J28+C29*$J29</f>
        <v>4</v>
      </c>
      <c r="D30" s="9">
        <f>+D27*$J27+D28*$J28+D29*$J29</f>
        <v>2</v>
      </c>
      <c r="E30" s="1">
        <f>+E27*$J27+E28*$J28+E29*$J29</f>
        <v>0</v>
      </c>
      <c r="F30" s="1">
        <f>+F27*$J27+F28*$J28+F29*$J29</f>
        <v>0.3333333333333333</v>
      </c>
      <c r="G30" s="4">
        <f>+G27*$J27+G28*$J28+G29*$J29</f>
        <v>0</v>
      </c>
      <c r="H30" s="7"/>
    </row>
    <row r="31" spans="2:10" ht="12">
      <c r="B31" t="s">
        <v>10</v>
      </c>
      <c r="C31" s="8">
        <f>+C30-C25</f>
        <v>0</v>
      </c>
      <c r="D31" s="9">
        <f>+D30-D25</f>
        <v>-1</v>
      </c>
      <c r="E31" s="1">
        <f>+E30-E25</f>
        <v>0</v>
      </c>
      <c r="F31" s="1">
        <f>+F30-F25</f>
        <v>0.3333333333333333</v>
      </c>
      <c r="G31" s="1">
        <f>+G30-G25</f>
        <v>0</v>
      </c>
      <c r="I31" s="68">
        <f>+I27*J27+J28*I28+I29*J29</f>
        <v>14</v>
      </c>
      <c r="J31" s="68"/>
    </row>
    <row r="33" spans="2:7" ht="12">
      <c r="B33" t="s">
        <v>8</v>
      </c>
      <c r="C33" s="1">
        <v>4</v>
      </c>
      <c r="D33" s="1">
        <v>3</v>
      </c>
      <c r="E33" s="1">
        <v>0</v>
      </c>
      <c r="F33" s="1">
        <v>0</v>
      </c>
      <c r="G33" s="1">
        <v>0</v>
      </c>
    </row>
    <row r="34" spans="3:11" ht="12">
      <c r="C34" s="2" t="s">
        <v>0</v>
      </c>
      <c r="D34" s="9" t="s">
        <v>1</v>
      </c>
      <c r="E34" s="2" t="s">
        <v>2</v>
      </c>
      <c r="F34" s="2" t="s">
        <v>3</v>
      </c>
      <c r="G34" s="3" t="s">
        <v>4</v>
      </c>
      <c r="H34" s="7"/>
      <c r="I34" s="5" t="s">
        <v>5</v>
      </c>
      <c r="J34" s="2" t="s">
        <v>6</v>
      </c>
      <c r="K34" s="2" t="s">
        <v>7</v>
      </c>
    </row>
    <row r="35" spans="3:11" ht="12">
      <c r="C35" s="1">
        <f>+C27-C$29*$D27</f>
        <v>0</v>
      </c>
      <c r="D35" s="1">
        <f aca="true" t="shared" si="2" ref="D35:I35">+D27-D$29*$D27</f>
        <v>0</v>
      </c>
      <c r="E35" s="1">
        <f t="shared" si="2"/>
        <v>1</v>
      </c>
      <c r="F35" s="1">
        <f t="shared" si="2"/>
        <v>0.8333333333333333</v>
      </c>
      <c r="G35" s="4">
        <f t="shared" si="2"/>
        <v>-1.4444444444444444</v>
      </c>
      <c r="H35" s="7"/>
      <c r="I35" s="6">
        <f t="shared" si="2"/>
        <v>35.8</v>
      </c>
      <c r="J35" s="1">
        <v>0</v>
      </c>
      <c r="K35" s="1" t="s">
        <v>2</v>
      </c>
    </row>
    <row r="36" spans="3:11" ht="12">
      <c r="C36" s="1">
        <f>+C28-C$29*$D28</f>
        <v>1</v>
      </c>
      <c r="D36" s="1">
        <f>+D28-D$29*$D28</f>
        <v>0</v>
      </c>
      <c r="E36" s="1">
        <f>+E28-E$29*$D28</f>
        <v>0</v>
      </c>
      <c r="F36" s="1">
        <f>+F28-F$29*$D28</f>
        <v>0.16666666666666666</v>
      </c>
      <c r="G36" s="4">
        <f>+G28-G$29*$D28</f>
        <v>-0.1111111111111111</v>
      </c>
      <c r="H36" s="7"/>
      <c r="I36" s="6">
        <f>+I28-I$29*$D28</f>
        <v>3</v>
      </c>
      <c r="J36" s="1">
        <v>4</v>
      </c>
      <c r="K36" s="1" t="s">
        <v>12</v>
      </c>
    </row>
    <row r="37" spans="3:11" ht="12">
      <c r="C37" s="1">
        <v>0</v>
      </c>
      <c r="D37" s="1">
        <v>1</v>
      </c>
      <c r="E37" s="1">
        <v>0</v>
      </c>
      <c r="F37" s="1">
        <v>-0.16666666666666666</v>
      </c>
      <c r="G37" s="4">
        <v>0.2222222222222222</v>
      </c>
      <c r="H37" s="7"/>
      <c r="I37" s="6">
        <v>1</v>
      </c>
      <c r="J37" s="9">
        <v>3</v>
      </c>
      <c r="K37" s="9" t="s">
        <v>13</v>
      </c>
    </row>
    <row r="38" spans="2:7" ht="12">
      <c r="B38" t="s">
        <v>9</v>
      </c>
      <c r="C38" s="8">
        <f>+C35*$J35+C36*$J36+C37*$J37</f>
        <v>4</v>
      </c>
      <c r="D38" s="8">
        <f>+D35*$J35+D36*$J36+D37*$J37</f>
        <v>3</v>
      </c>
      <c r="E38" s="1">
        <f>+E35*$J35+E36*$J36+E37*$J37</f>
        <v>0</v>
      </c>
      <c r="F38" s="1">
        <f>+F35*$J35+F36*$J36+F37*$J37</f>
        <v>0.16666666666666663</v>
      </c>
      <c r="G38" s="1">
        <f>+G35*$J35+G36*$J36+G37*$J37</f>
        <v>0.2222222222222222</v>
      </c>
    </row>
    <row r="39" spans="2:10" ht="12">
      <c r="B39" t="s">
        <v>10</v>
      </c>
      <c r="C39" s="8">
        <f>+C38-C33</f>
        <v>0</v>
      </c>
      <c r="D39" s="8">
        <f>+D38-D33</f>
        <v>0</v>
      </c>
      <c r="E39" s="1">
        <f>+E38-E33</f>
        <v>0</v>
      </c>
      <c r="F39" s="1">
        <f>+F38-F33</f>
        <v>0.16666666666666663</v>
      </c>
      <c r="G39" s="1">
        <f>+G38-G33</f>
        <v>0.2222222222222222</v>
      </c>
      <c r="I39" s="69">
        <f>+I35*J35+J36*I36+I37*J37</f>
        <v>15</v>
      </c>
      <c r="J39" s="69"/>
    </row>
  </sheetData>
  <sheetProtection/>
  <mergeCells count="3">
    <mergeCell ref="I23:J23"/>
    <mergeCell ref="I31:J31"/>
    <mergeCell ref="I39:J39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0">
      <selection activeCell="A1" sqref="A1"/>
    </sheetView>
  </sheetViews>
  <sheetFormatPr defaultColWidth="11.421875" defaultRowHeight="12.75"/>
  <cols>
    <col min="1" max="1" width="2.140625" style="0" customWidth="1"/>
    <col min="2" max="3" width="8.140625" style="0" bestFit="1" customWidth="1"/>
    <col min="4" max="4" width="15.00390625" style="0" bestFit="1" customWidth="1"/>
    <col min="5" max="5" width="17.140625" style="0" bestFit="1" customWidth="1"/>
    <col min="6" max="6" width="11.28125" style="0" bestFit="1" customWidth="1"/>
    <col min="7" max="7" width="7.421875" style="0" bestFit="1" customWidth="1"/>
  </cols>
  <sheetData>
    <row r="1" ht="12.75">
      <c r="A1" s="72" t="s">
        <v>124</v>
      </c>
    </row>
    <row r="2" ht="12.75">
      <c r="A2" s="72" t="s">
        <v>125</v>
      </c>
    </row>
    <row r="3" ht="12.75">
      <c r="A3" s="72" t="s">
        <v>126</v>
      </c>
    </row>
    <row r="4" ht="12.75">
      <c r="A4" s="72" t="s">
        <v>127</v>
      </c>
    </row>
    <row r="5" ht="12.75">
      <c r="A5" s="72" t="s">
        <v>128</v>
      </c>
    </row>
    <row r="6" spans="1:2" ht="12.75">
      <c r="A6" s="72"/>
      <c r="B6" t="s">
        <v>129</v>
      </c>
    </row>
    <row r="7" spans="1:2" ht="12.75">
      <c r="A7" s="72"/>
      <c r="B7" t="s">
        <v>130</v>
      </c>
    </row>
    <row r="8" spans="1:2" ht="12.75">
      <c r="A8" s="72"/>
      <c r="B8" t="s">
        <v>131</v>
      </c>
    </row>
    <row r="9" ht="12.75">
      <c r="A9" s="72" t="s">
        <v>132</v>
      </c>
    </row>
    <row r="10" ht="12">
      <c r="B10" t="s">
        <v>133</v>
      </c>
    </row>
    <row r="11" ht="12">
      <c r="B11" t="s">
        <v>134</v>
      </c>
    </row>
    <row r="14" ht="12.75" thickBot="1">
      <c r="A14" t="s">
        <v>135</v>
      </c>
    </row>
    <row r="15" spans="2:5" ht="13.5" thickBot="1">
      <c r="B15" s="74" t="s">
        <v>136</v>
      </c>
      <c r="C15" s="74" t="s">
        <v>137</v>
      </c>
      <c r="D15" s="74" t="s">
        <v>138</v>
      </c>
      <c r="E15" s="74" t="s">
        <v>139</v>
      </c>
    </row>
    <row r="16" spans="2:5" ht="12.75" thickBot="1">
      <c r="B16" s="73" t="s">
        <v>147</v>
      </c>
      <c r="C16" s="73" t="s">
        <v>148</v>
      </c>
      <c r="D16" s="76">
        <v>0</v>
      </c>
      <c r="E16" s="76">
        <v>15</v>
      </c>
    </row>
    <row r="19" ht="12.75" thickBot="1">
      <c r="A19" t="s">
        <v>140</v>
      </c>
    </row>
    <row r="20" spans="2:6" ht="13.5" thickBot="1">
      <c r="B20" s="74" t="s">
        <v>136</v>
      </c>
      <c r="C20" s="74" t="s">
        <v>137</v>
      </c>
      <c r="D20" s="74" t="s">
        <v>138</v>
      </c>
      <c r="E20" s="74" t="s">
        <v>139</v>
      </c>
      <c r="F20" s="74" t="s">
        <v>141</v>
      </c>
    </row>
    <row r="21" spans="2:6" ht="12">
      <c r="B21" s="75" t="s">
        <v>149</v>
      </c>
      <c r="C21" s="75" t="s">
        <v>0</v>
      </c>
      <c r="D21" s="77">
        <v>0</v>
      </c>
      <c r="E21" s="77">
        <v>3</v>
      </c>
      <c r="F21" s="75" t="s">
        <v>150</v>
      </c>
    </row>
    <row r="22" spans="2:6" ht="12.75" thickBot="1">
      <c r="B22" s="73" t="s">
        <v>151</v>
      </c>
      <c r="C22" s="73" t="s">
        <v>1</v>
      </c>
      <c r="D22" s="76">
        <v>0</v>
      </c>
      <c r="E22" s="76">
        <v>1</v>
      </c>
      <c r="F22" s="73" t="s">
        <v>150</v>
      </c>
    </row>
    <row r="25" ht="12.75" thickBot="1">
      <c r="A25" t="s">
        <v>142</v>
      </c>
    </row>
    <row r="26" spans="2:7" ht="13.5" thickBot="1">
      <c r="B26" s="74" t="s">
        <v>136</v>
      </c>
      <c r="C26" s="74" t="s">
        <v>137</v>
      </c>
      <c r="D26" s="74" t="s">
        <v>143</v>
      </c>
      <c r="E26" s="74" t="s">
        <v>144</v>
      </c>
      <c r="F26" s="74" t="s">
        <v>145</v>
      </c>
      <c r="G26" s="74" t="s">
        <v>146</v>
      </c>
    </row>
    <row r="27" spans="2:7" ht="12">
      <c r="B27" s="75" t="s">
        <v>152</v>
      </c>
      <c r="C27" s="75" t="s">
        <v>1</v>
      </c>
      <c r="D27" s="77">
        <v>17</v>
      </c>
      <c r="E27" s="75" t="s">
        <v>153</v>
      </c>
      <c r="F27" s="75" t="s">
        <v>154</v>
      </c>
      <c r="G27" s="75">
        <v>35.8</v>
      </c>
    </row>
    <row r="28" spans="2:7" ht="12">
      <c r="B28" s="75" t="s">
        <v>155</v>
      </c>
      <c r="C28" s="75" t="s">
        <v>1</v>
      </c>
      <c r="D28" s="77">
        <v>42</v>
      </c>
      <c r="E28" s="75" t="s">
        <v>156</v>
      </c>
      <c r="F28" s="75" t="s">
        <v>157</v>
      </c>
      <c r="G28" s="75">
        <v>0</v>
      </c>
    </row>
    <row r="29" spans="2:7" ht="12">
      <c r="B29" s="75" t="s">
        <v>158</v>
      </c>
      <c r="C29" s="75" t="s">
        <v>1</v>
      </c>
      <c r="D29" s="77">
        <v>36</v>
      </c>
      <c r="E29" s="75" t="s">
        <v>159</v>
      </c>
      <c r="F29" s="75" t="s">
        <v>157</v>
      </c>
      <c r="G29" s="75">
        <v>0</v>
      </c>
    </row>
    <row r="30" spans="2:7" ht="12">
      <c r="B30" s="75" t="s">
        <v>149</v>
      </c>
      <c r="C30" s="75" t="s">
        <v>0</v>
      </c>
      <c r="D30" s="77">
        <v>3</v>
      </c>
      <c r="E30" s="75" t="s">
        <v>160</v>
      </c>
      <c r="F30" s="75" t="s">
        <v>154</v>
      </c>
      <c r="G30" s="77">
        <v>3</v>
      </c>
    </row>
    <row r="31" spans="2:7" ht="12.75" thickBot="1">
      <c r="B31" s="73" t="s">
        <v>151</v>
      </c>
      <c r="C31" s="73" t="s">
        <v>1</v>
      </c>
      <c r="D31" s="76">
        <v>1</v>
      </c>
      <c r="E31" s="73" t="s">
        <v>161</v>
      </c>
      <c r="F31" s="73" t="s">
        <v>154</v>
      </c>
      <c r="G31" s="7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showGridLines="0" zoomScalePageLayoutView="0" workbookViewId="0" topLeftCell="A1">
      <selection activeCell="L19" sqref="L19"/>
    </sheetView>
  </sheetViews>
  <sheetFormatPr defaultColWidth="11.421875" defaultRowHeight="12.75"/>
  <cols>
    <col min="1" max="1" width="2.140625" style="0" customWidth="1"/>
    <col min="2" max="2" width="8.140625" style="0" bestFit="1" customWidth="1"/>
    <col min="3" max="3" width="7.57421875" style="0" bestFit="1" customWidth="1"/>
    <col min="4" max="4" width="5.28125" style="0" bestFit="1" customWidth="1"/>
    <col min="5" max="5" width="11.8515625" style="0" bestFit="1" customWidth="1"/>
    <col min="6" max="6" width="12.57421875" style="0" bestFit="1" customWidth="1"/>
    <col min="7" max="7" width="11.8515625" style="0" bestFit="1" customWidth="1"/>
    <col min="8" max="8" width="9.7109375" style="0" bestFit="1" customWidth="1"/>
  </cols>
  <sheetData>
    <row r="1" ht="12.75">
      <c r="A1" s="72" t="s">
        <v>162</v>
      </c>
    </row>
    <row r="2" ht="12.75">
      <c r="A2" s="72" t="s">
        <v>125</v>
      </c>
    </row>
    <row r="3" ht="12.75">
      <c r="A3" s="72" t="s">
        <v>126</v>
      </c>
    </row>
    <row r="6" ht="12.75" thickBot="1">
      <c r="A6" t="s">
        <v>140</v>
      </c>
    </row>
    <row r="7" spans="2:8" ht="12.75">
      <c r="B7" s="78"/>
      <c r="C7" s="78"/>
      <c r="D7" s="78" t="s">
        <v>163</v>
      </c>
      <c r="E7" s="78" t="s">
        <v>165</v>
      </c>
      <c r="F7" s="78" t="s">
        <v>167</v>
      </c>
      <c r="G7" s="78" t="s">
        <v>169</v>
      </c>
      <c r="H7" s="78" t="s">
        <v>169</v>
      </c>
    </row>
    <row r="8" spans="2:10" ht="13.5" thickBot="1">
      <c r="B8" s="79" t="s">
        <v>136</v>
      </c>
      <c r="C8" s="79" t="s">
        <v>137</v>
      </c>
      <c r="D8" s="79" t="s">
        <v>164</v>
      </c>
      <c r="E8" s="79" t="s">
        <v>166</v>
      </c>
      <c r="F8" s="79" t="s">
        <v>168</v>
      </c>
      <c r="G8" s="79" t="s">
        <v>170</v>
      </c>
      <c r="H8" s="79" t="s">
        <v>171</v>
      </c>
      <c r="J8" s="80" t="s">
        <v>68</v>
      </c>
    </row>
    <row r="9" spans="2:11" ht="12">
      <c r="B9" s="75" t="s">
        <v>149</v>
      </c>
      <c r="C9" s="75" t="s">
        <v>0</v>
      </c>
      <c r="D9" s="75">
        <v>3</v>
      </c>
      <c r="E9" s="75">
        <v>0</v>
      </c>
      <c r="F9" s="75">
        <v>4</v>
      </c>
      <c r="G9" s="75">
        <v>2</v>
      </c>
      <c r="H9" s="75">
        <v>1</v>
      </c>
      <c r="I9">
        <f>+J9-H9</f>
        <v>3</v>
      </c>
      <c r="J9">
        <f>+F9</f>
        <v>4</v>
      </c>
      <c r="K9">
        <f>+J9+G9</f>
        <v>6</v>
      </c>
    </row>
    <row r="10" spans="2:10" ht="13.5" thickBot="1">
      <c r="B10" s="73" t="s">
        <v>151</v>
      </c>
      <c r="C10" s="73" t="s">
        <v>1</v>
      </c>
      <c r="D10" s="73">
        <v>1</v>
      </c>
      <c r="E10" s="73">
        <v>0</v>
      </c>
      <c r="F10" s="73">
        <v>3</v>
      </c>
      <c r="G10" s="73">
        <v>1</v>
      </c>
      <c r="H10" s="73">
        <v>1</v>
      </c>
      <c r="J10" s="80" t="s">
        <v>182</v>
      </c>
    </row>
    <row r="11" spans="9:11" ht="12">
      <c r="I11">
        <f>+J11-H10</f>
        <v>2</v>
      </c>
      <c r="J11">
        <f>+F10</f>
        <v>3</v>
      </c>
      <c r="K11">
        <f>+J11+G10</f>
        <v>4</v>
      </c>
    </row>
    <row r="12" ht="12.75" thickBot="1">
      <c r="A12" t="s">
        <v>142</v>
      </c>
    </row>
    <row r="13" spans="2:8" ht="12.75">
      <c r="B13" s="78"/>
      <c r="C13" s="78"/>
      <c r="D13" s="78" t="s">
        <v>163</v>
      </c>
      <c r="E13" s="78" t="s">
        <v>172</v>
      </c>
      <c r="F13" s="78" t="s">
        <v>174</v>
      </c>
      <c r="G13" s="78" t="s">
        <v>169</v>
      </c>
      <c r="H13" s="78" t="s">
        <v>169</v>
      </c>
    </row>
    <row r="14" spans="2:8" ht="13.5" thickBot="1">
      <c r="B14" s="79" t="s">
        <v>136</v>
      </c>
      <c r="C14" s="79" t="s">
        <v>137</v>
      </c>
      <c r="D14" s="79" t="s">
        <v>164</v>
      </c>
      <c r="E14" s="79" t="s">
        <v>173</v>
      </c>
      <c r="F14" s="79" t="s">
        <v>175</v>
      </c>
      <c r="G14" s="79" t="s">
        <v>170</v>
      </c>
      <c r="H14" s="79" t="s">
        <v>171</v>
      </c>
    </row>
    <row r="15" spans="2:8" ht="12">
      <c r="B15" s="75" t="s">
        <v>152</v>
      </c>
      <c r="C15" s="75" t="s">
        <v>1</v>
      </c>
      <c r="D15" s="75">
        <v>17</v>
      </c>
      <c r="E15" s="75">
        <v>0</v>
      </c>
      <c r="F15" s="75">
        <v>52.8</v>
      </c>
      <c r="G15" s="75">
        <v>1E+30</v>
      </c>
      <c r="H15" s="75">
        <v>35.8</v>
      </c>
    </row>
    <row r="16" spans="2:11" ht="12">
      <c r="B16" s="75" t="s">
        <v>155</v>
      </c>
      <c r="C16" s="75" t="s">
        <v>1</v>
      </c>
      <c r="D16" s="75">
        <v>42</v>
      </c>
      <c r="E16" s="75">
        <v>0.16666666666666666</v>
      </c>
      <c r="F16" s="75">
        <v>42</v>
      </c>
      <c r="G16" s="75">
        <v>6</v>
      </c>
      <c r="H16" s="75">
        <v>18</v>
      </c>
      <c r="I16">
        <f>+J16-H16</f>
        <v>24</v>
      </c>
      <c r="J16">
        <f>+F16</f>
        <v>42</v>
      </c>
      <c r="K16">
        <f>+J16+G16</f>
        <v>48</v>
      </c>
    </row>
    <row r="17" spans="2:11" ht="12.75" thickBot="1">
      <c r="B17" s="73" t="s">
        <v>158</v>
      </c>
      <c r="C17" s="73" t="s">
        <v>1</v>
      </c>
      <c r="D17" s="73">
        <v>36</v>
      </c>
      <c r="E17" s="73">
        <v>0.2222222222222222</v>
      </c>
      <c r="F17" s="73">
        <v>36</v>
      </c>
      <c r="G17" s="73">
        <v>24.784615384615382</v>
      </c>
      <c r="H17" s="73">
        <v>4.5</v>
      </c>
      <c r="I17">
        <f>+J17-H17</f>
        <v>31.5</v>
      </c>
      <c r="J17">
        <f>+F17</f>
        <v>36</v>
      </c>
      <c r="K17">
        <f>+J17+G17</f>
        <v>60.78461538461538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showGridLines="0" zoomScalePageLayoutView="0" workbookViewId="0" topLeftCell="A1">
      <selection activeCell="A1" sqref="A1:A3"/>
    </sheetView>
  </sheetViews>
  <sheetFormatPr defaultColWidth="11.421875" defaultRowHeight="12.75"/>
  <cols>
    <col min="1" max="1" width="2.140625" style="0" customWidth="1"/>
    <col min="2" max="2" width="5.57421875" style="0" bestFit="1" customWidth="1"/>
    <col min="3" max="3" width="7.7109375" style="0" bestFit="1" customWidth="1"/>
    <col min="4" max="4" width="5.28125" style="0" bestFit="1" customWidth="1"/>
    <col min="5" max="5" width="2.140625" style="0" customWidth="1"/>
    <col min="6" max="6" width="7.00390625" style="0" bestFit="1" customWidth="1"/>
    <col min="7" max="7" width="9.421875" style="0" bestFit="1" customWidth="1"/>
    <col min="8" max="8" width="2.140625" style="0" customWidth="1"/>
    <col min="9" max="9" width="8.140625" style="0" bestFit="1" customWidth="1"/>
    <col min="10" max="10" width="9.421875" style="0" bestFit="1" customWidth="1"/>
  </cols>
  <sheetData>
    <row r="1" ht="12.75">
      <c r="A1" s="72" t="s">
        <v>176</v>
      </c>
    </row>
    <row r="2" ht="12.75">
      <c r="A2" s="72" t="s">
        <v>125</v>
      </c>
    </row>
    <row r="3" ht="12.75">
      <c r="A3" s="72" t="s">
        <v>126</v>
      </c>
    </row>
    <row r="5" ht="12.75" thickBot="1"/>
    <row r="6" spans="2:4" ht="12.75">
      <c r="B6" s="78"/>
      <c r="C6" s="78" t="s">
        <v>167</v>
      </c>
      <c r="D6" s="78"/>
    </row>
    <row r="7" spans="2:4" ht="13.5" thickBot="1">
      <c r="B7" s="79" t="s">
        <v>136</v>
      </c>
      <c r="C7" s="79" t="s">
        <v>137</v>
      </c>
      <c r="D7" s="79" t="s">
        <v>164</v>
      </c>
    </row>
    <row r="8" spans="2:4" ht="12.75" thickBot="1">
      <c r="B8" s="73" t="s">
        <v>147</v>
      </c>
      <c r="C8" s="73" t="s">
        <v>148</v>
      </c>
      <c r="D8" s="76">
        <v>15</v>
      </c>
    </row>
    <row r="10" ht="12.75" thickBot="1"/>
    <row r="11" spans="2:10" ht="12.75">
      <c r="B11" s="78"/>
      <c r="C11" s="78" t="s">
        <v>177</v>
      </c>
      <c r="D11" s="78"/>
      <c r="F11" s="78" t="s">
        <v>178</v>
      </c>
      <c r="G11" s="78" t="s">
        <v>167</v>
      </c>
      <c r="I11" s="78" t="s">
        <v>181</v>
      </c>
      <c r="J11" s="78" t="s">
        <v>167</v>
      </c>
    </row>
    <row r="12" spans="2:10" ht="13.5" thickBot="1">
      <c r="B12" s="79" t="s">
        <v>136</v>
      </c>
      <c r="C12" s="79" t="s">
        <v>137</v>
      </c>
      <c r="D12" s="79" t="s">
        <v>164</v>
      </c>
      <c r="F12" s="79" t="s">
        <v>179</v>
      </c>
      <c r="G12" s="79" t="s">
        <v>180</v>
      </c>
      <c r="I12" s="79" t="s">
        <v>179</v>
      </c>
      <c r="J12" s="79" t="s">
        <v>180</v>
      </c>
    </row>
    <row r="13" spans="2:10" ht="12">
      <c r="B13" s="75" t="s">
        <v>149</v>
      </c>
      <c r="C13" s="75" t="s">
        <v>0</v>
      </c>
      <c r="D13" s="77">
        <v>3</v>
      </c>
      <c r="F13" s="77">
        <v>0</v>
      </c>
      <c r="G13" s="77">
        <v>3</v>
      </c>
      <c r="I13" s="77">
        <v>3</v>
      </c>
      <c r="J13" s="77">
        <v>15</v>
      </c>
    </row>
    <row r="14" spans="2:10" ht="12.75" thickBot="1">
      <c r="B14" s="73" t="s">
        <v>151</v>
      </c>
      <c r="C14" s="73" t="s">
        <v>1</v>
      </c>
      <c r="D14" s="76">
        <v>1</v>
      </c>
      <c r="F14" s="76">
        <v>0</v>
      </c>
      <c r="G14" s="76">
        <v>12</v>
      </c>
      <c r="I14" s="76">
        <v>1</v>
      </c>
      <c r="J14" s="76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AR158"/>
  <sheetViews>
    <sheetView tabSelected="1" zoomScalePageLayoutView="0" workbookViewId="0" topLeftCell="AF142">
      <selection activeCell="AJ162" sqref="AJ162"/>
    </sheetView>
  </sheetViews>
  <sheetFormatPr defaultColWidth="11.421875" defaultRowHeight="12.75"/>
  <cols>
    <col min="2" max="2" width="8.28125" style="0" bestFit="1" customWidth="1"/>
    <col min="3" max="3" width="3.140625" style="0" bestFit="1" customWidth="1"/>
    <col min="4" max="4" width="10.00390625" style="0" bestFit="1" customWidth="1"/>
    <col min="6" max="6" width="4.8515625" style="0" bestFit="1" customWidth="1"/>
    <col min="7" max="7" width="2.57421875" style="0" bestFit="1" customWidth="1"/>
    <col min="9" max="9" width="5.8515625" style="0" bestFit="1" customWidth="1"/>
    <col min="10" max="10" width="4.8515625" style="0" bestFit="1" customWidth="1"/>
    <col min="11" max="29" width="2.8515625" style="0" customWidth="1"/>
    <col min="38" max="38" width="13.57421875" style="0" customWidth="1"/>
    <col min="41" max="41" width="16.140625" style="0" customWidth="1"/>
    <col min="42" max="42" width="14.7109375" style="0" customWidth="1"/>
  </cols>
  <sheetData>
    <row r="2" spans="2:32" ht="12">
      <c r="B2" s="17" t="s">
        <v>25</v>
      </c>
      <c r="C2" s="1">
        <v>4</v>
      </c>
      <c r="D2" s="1">
        <v>3</v>
      </c>
      <c r="E2" s="1">
        <v>0</v>
      </c>
      <c r="F2" s="1">
        <v>0</v>
      </c>
      <c r="G2" s="1">
        <v>0</v>
      </c>
      <c r="AF2" s="17" t="s">
        <v>75</v>
      </c>
    </row>
    <row r="3" spans="2:42" ht="12">
      <c r="B3" s="17" t="s">
        <v>26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I3" s="2" t="s">
        <v>5</v>
      </c>
      <c r="AF3" s="17" t="s">
        <v>25</v>
      </c>
      <c r="AG3" s="1">
        <v>4</v>
      </c>
      <c r="AH3" s="1">
        <v>3</v>
      </c>
      <c r="AI3" s="1">
        <v>0</v>
      </c>
      <c r="AJ3" s="1">
        <v>0</v>
      </c>
      <c r="AK3" s="1">
        <v>0</v>
      </c>
      <c r="AP3" t="s">
        <v>11</v>
      </c>
    </row>
    <row r="4" spans="2:41" ht="12">
      <c r="B4" s="17" t="s">
        <v>20</v>
      </c>
      <c r="C4" s="2">
        <v>3</v>
      </c>
      <c r="D4" s="1">
        <v>8</v>
      </c>
      <c r="E4" s="1">
        <v>1</v>
      </c>
      <c r="F4" s="1">
        <v>0</v>
      </c>
      <c r="G4" s="1">
        <v>0</v>
      </c>
      <c r="H4" s="17" t="s">
        <v>19</v>
      </c>
      <c r="I4" s="1">
        <v>52.8</v>
      </c>
      <c r="J4" s="34"/>
      <c r="AF4" s="17" t="s">
        <v>26</v>
      </c>
      <c r="AG4" s="2" t="s">
        <v>0</v>
      </c>
      <c r="AH4" s="2" t="s">
        <v>1</v>
      </c>
      <c r="AI4" s="2" t="s">
        <v>2</v>
      </c>
      <c r="AJ4" s="2" t="s">
        <v>3</v>
      </c>
      <c r="AK4" s="2" t="s">
        <v>4</v>
      </c>
      <c r="AM4" s="2" t="s">
        <v>5</v>
      </c>
      <c r="AN4" s="2" t="s">
        <v>6</v>
      </c>
      <c r="AO4" s="2" t="s">
        <v>7</v>
      </c>
    </row>
    <row r="5" spans="2:42" ht="12">
      <c r="B5" s="43" t="s">
        <v>21</v>
      </c>
      <c r="C5" s="2">
        <v>12</v>
      </c>
      <c r="D5" s="2">
        <v>6</v>
      </c>
      <c r="E5" s="2">
        <v>0</v>
      </c>
      <c r="F5" s="2">
        <v>1</v>
      </c>
      <c r="G5" s="2">
        <v>0</v>
      </c>
      <c r="H5" s="33" t="s">
        <v>19</v>
      </c>
      <c r="I5" s="2">
        <v>42</v>
      </c>
      <c r="J5" s="34">
        <f aca="true" t="shared" si="0" ref="J5:J20">+J6+1</f>
        <v>18</v>
      </c>
      <c r="AG5" s="46">
        <v>3</v>
      </c>
      <c r="AH5">
        <v>8</v>
      </c>
      <c r="AI5">
        <v>1</v>
      </c>
      <c r="AJ5">
        <v>0</v>
      </c>
      <c r="AK5">
        <v>0</v>
      </c>
      <c r="AM5">
        <v>52.8</v>
      </c>
      <c r="AN5">
        <v>0</v>
      </c>
      <c r="AO5" s="17" t="s">
        <v>76</v>
      </c>
      <c r="AP5">
        <f>+AM5/AG5</f>
        <v>17.599999999999998</v>
      </c>
    </row>
    <row r="6" spans="2:42" ht="12">
      <c r="B6" s="43" t="s">
        <v>38</v>
      </c>
      <c r="C6" s="2">
        <v>9</v>
      </c>
      <c r="D6" s="8">
        <v>9</v>
      </c>
      <c r="E6" s="8">
        <v>0</v>
      </c>
      <c r="F6" s="8">
        <v>0</v>
      </c>
      <c r="G6" s="8">
        <v>1</v>
      </c>
      <c r="H6" s="17" t="s">
        <v>19</v>
      </c>
      <c r="I6" s="1">
        <v>36</v>
      </c>
      <c r="J6" s="34">
        <f t="shared" si="0"/>
        <v>17</v>
      </c>
      <c r="AG6" s="46">
        <v>12</v>
      </c>
      <c r="AH6" s="46">
        <v>6</v>
      </c>
      <c r="AI6" s="46">
        <v>0</v>
      </c>
      <c r="AJ6" s="46">
        <v>1</v>
      </c>
      <c r="AK6" s="46">
        <v>0</v>
      </c>
      <c r="AL6" s="46"/>
      <c r="AM6" s="46">
        <v>42</v>
      </c>
      <c r="AN6" s="46">
        <v>0</v>
      </c>
      <c r="AO6" s="47" t="s">
        <v>77</v>
      </c>
      <c r="AP6" s="46">
        <f>+AM6/AG6</f>
        <v>3.5</v>
      </c>
    </row>
    <row r="7" spans="10:42" ht="12">
      <c r="J7" s="34">
        <f t="shared" si="0"/>
        <v>16</v>
      </c>
      <c r="AG7" s="46">
        <v>9</v>
      </c>
      <c r="AH7">
        <v>9</v>
      </c>
      <c r="AI7">
        <v>0</v>
      </c>
      <c r="AJ7">
        <v>0</v>
      </c>
      <c r="AK7">
        <v>1</v>
      </c>
      <c r="AM7">
        <v>36</v>
      </c>
      <c r="AN7">
        <v>0</v>
      </c>
      <c r="AO7" s="32" t="s">
        <v>78</v>
      </c>
      <c r="AP7">
        <f>+AM7/AG7</f>
        <v>4</v>
      </c>
    </row>
    <row r="8" spans="10:37" ht="12">
      <c r="J8" s="34">
        <f t="shared" si="0"/>
        <v>15</v>
      </c>
      <c r="AF8" s="17" t="s">
        <v>79</v>
      </c>
      <c r="AG8" s="46">
        <f>+AG5*$AN$5+AG6*$AN$6+AG7*$AN$7</f>
        <v>0</v>
      </c>
      <c r="AH8">
        <f>+AH5*$AN$5+AH6*$AN$6+AH7*$AN$7</f>
        <v>0</v>
      </c>
      <c r="AI8">
        <f>+AI5*$AN$5+AI6*$AN$6+AI7*$AN$7</f>
        <v>0</v>
      </c>
      <c r="AJ8">
        <f>+AJ5*$AN$5+AJ6*$AN$6+AJ7*$AN$7</f>
        <v>0</v>
      </c>
      <c r="AK8">
        <f>+AK5*$AN$5+AK6*$AN$6+AK7*$AN$7</f>
        <v>0</v>
      </c>
    </row>
    <row r="9" spans="9:41" ht="12">
      <c r="I9">
        <f>+I4/3</f>
        <v>17.599999999999998</v>
      </c>
      <c r="J9" s="34">
        <f t="shared" si="0"/>
        <v>14</v>
      </c>
      <c r="AF9" s="17" t="s">
        <v>80</v>
      </c>
      <c r="AG9" s="46">
        <f>+AG8-AG3</f>
        <v>-4</v>
      </c>
      <c r="AH9">
        <f>+AH8-AH3</f>
        <v>-3</v>
      </c>
      <c r="AI9">
        <f>+AI8-AI3</f>
        <v>0</v>
      </c>
      <c r="AJ9">
        <f>+AJ8-AJ3</f>
        <v>0</v>
      </c>
      <c r="AK9">
        <f>+AK8-AK3</f>
        <v>0</v>
      </c>
      <c r="AM9" s="50" t="s">
        <v>37</v>
      </c>
      <c r="AN9" s="51">
        <f>+AM5*AN5+AM6*AN6+AM7*AN7</f>
        <v>0</v>
      </c>
      <c r="AO9" s="17" t="s">
        <v>81</v>
      </c>
    </row>
    <row r="10" spans="9:41" ht="12">
      <c r="I10">
        <f>+I4/8</f>
        <v>6.6</v>
      </c>
      <c r="J10" s="34">
        <f t="shared" si="0"/>
        <v>13</v>
      </c>
      <c r="AO10" s="17" t="s">
        <v>82</v>
      </c>
    </row>
    <row r="11" spans="9:41" ht="12">
      <c r="I11">
        <f>+I5/12</f>
        <v>3.5</v>
      </c>
      <c r="J11" s="34">
        <f t="shared" si="0"/>
        <v>12</v>
      </c>
      <c r="AG11" s="29">
        <v>3</v>
      </c>
      <c r="AH11">
        <v>8</v>
      </c>
      <c r="AI11">
        <v>1</v>
      </c>
      <c r="AJ11">
        <v>0</v>
      </c>
      <c r="AK11">
        <v>0</v>
      </c>
      <c r="AM11">
        <v>52.8</v>
      </c>
      <c r="AO11" s="17" t="s">
        <v>83</v>
      </c>
    </row>
    <row r="12" spans="9:41" ht="12">
      <c r="I12">
        <f>+I5/6</f>
        <v>7</v>
      </c>
      <c r="J12" s="34">
        <f t="shared" si="0"/>
        <v>11</v>
      </c>
      <c r="AG12" s="29">
        <f>+AG6/12</f>
        <v>1</v>
      </c>
      <c r="AH12" s="29">
        <f aca="true" t="shared" si="1" ref="AH12:AM12">+AH6/12</f>
        <v>0.5</v>
      </c>
      <c r="AI12" s="29">
        <f t="shared" si="1"/>
        <v>0</v>
      </c>
      <c r="AJ12" s="29">
        <f t="shared" si="1"/>
        <v>0.08333333333333333</v>
      </c>
      <c r="AK12" s="29">
        <f t="shared" si="1"/>
        <v>0</v>
      </c>
      <c r="AL12" s="29">
        <f t="shared" si="1"/>
        <v>0</v>
      </c>
      <c r="AM12" s="29">
        <f t="shared" si="1"/>
        <v>3.5</v>
      </c>
      <c r="AO12" s="17" t="s">
        <v>84</v>
      </c>
    </row>
    <row r="13" spans="9:41" ht="12">
      <c r="I13">
        <f>+I6/9</f>
        <v>4</v>
      </c>
      <c r="J13" s="34">
        <f t="shared" si="0"/>
        <v>10</v>
      </c>
      <c r="AG13" s="29">
        <v>9</v>
      </c>
      <c r="AH13">
        <v>9</v>
      </c>
      <c r="AI13">
        <v>0</v>
      </c>
      <c r="AJ13">
        <v>0</v>
      </c>
      <c r="AK13">
        <v>1</v>
      </c>
      <c r="AM13">
        <v>36</v>
      </c>
      <c r="AO13" s="17" t="s">
        <v>85</v>
      </c>
    </row>
    <row r="14" ht="12">
      <c r="J14" s="34">
        <f t="shared" si="0"/>
        <v>9</v>
      </c>
    </row>
    <row r="15" spans="10:42" ht="12">
      <c r="J15" s="34">
        <f t="shared" si="0"/>
        <v>8</v>
      </c>
      <c r="AF15" s="17" t="s">
        <v>25</v>
      </c>
      <c r="AG15" s="1">
        <v>4</v>
      </c>
      <c r="AH15" s="1">
        <v>3</v>
      </c>
      <c r="AI15" s="1">
        <v>0</v>
      </c>
      <c r="AJ15" s="1">
        <v>0</v>
      </c>
      <c r="AK15" s="1">
        <v>0</v>
      </c>
      <c r="AP15" t="s">
        <v>11</v>
      </c>
    </row>
    <row r="16" spans="10:41" ht="12">
      <c r="J16" s="34">
        <f t="shared" si="0"/>
        <v>7</v>
      </c>
      <c r="AF16" s="17" t="s">
        <v>26</v>
      </c>
      <c r="AG16" s="2" t="s">
        <v>0</v>
      </c>
      <c r="AH16" s="2" t="s">
        <v>1</v>
      </c>
      <c r="AI16" s="2" t="s">
        <v>2</v>
      </c>
      <c r="AJ16" s="2" t="s">
        <v>3</v>
      </c>
      <c r="AK16" s="2" t="s">
        <v>4</v>
      </c>
      <c r="AM16" s="2" t="s">
        <v>5</v>
      </c>
      <c r="AN16" s="2" t="s">
        <v>6</v>
      </c>
      <c r="AO16" s="2" t="s">
        <v>7</v>
      </c>
    </row>
    <row r="17" spans="10:42" ht="12">
      <c r="J17" s="34">
        <f t="shared" si="0"/>
        <v>6</v>
      </c>
      <c r="AG17" s="14">
        <v>0</v>
      </c>
      <c r="AH17" s="31">
        <f>+AH11-AH12*AG11</f>
        <v>6.5</v>
      </c>
      <c r="AI17" s="14">
        <v>1</v>
      </c>
      <c r="AJ17" s="14">
        <f>+AJ11-AJ12*AG11</f>
        <v>-0.25</v>
      </c>
      <c r="AK17" s="14">
        <v>0</v>
      </c>
      <c r="AL17" s="14"/>
      <c r="AM17" s="14">
        <f>+AM11-AM12*AG11</f>
        <v>42.3</v>
      </c>
      <c r="AN17" s="14">
        <v>0</v>
      </c>
      <c r="AO17" s="33" t="s">
        <v>76</v>
      </c>
      <c r="AP17" s="14">
        <f>+AM17/AH17</f>
        <v>6.507692307692308</v>
      </c>
    </row>
    <row r="18" spans="10:42" ht="12">
      <c r="J18" s="34">
        <f t="shared" si="0"/>
        <v>5</v>
      </c>
      <c r="AG18" s="14">
        <v>1</v>
      </c>
      <c r="AH18" s="31">
        <v>0.5</v>
      </c>
      <c r="AI18" s="14">
        <v>0</v>
      </c>
      <c r="AJ18" s="14">
        <v>0.08333333333333333</v>
      </c>
      <c r="AK18" s="14">
        <v>0</v>
      </c>
      <c r="AL18" s="14">
        <v>0</v>
      </c>
      <c r="AM18" s="14">
        <v>3.5</v>
      </c>
      <c r="AN18" s="14">
        <v>4</v>
      </c>
      <c r="AO18" s="33" t="s">
        <v>0</v>
      </c>
      <c r="AP18" s="14">
        <f>+AM18/AH18</f>
        <v>7</v>
      </c>
    </row>
    <row r="19" spans="10:42" ht="12">
      <c r="J19" s="34">
        <f t="shared" si="0"/>
        <v>4</v>
      </c>
      <c r="K19" s="17" t="s">
        <v>30</v>
      </c>
      <c r="AG19" s="31">
        <v>0</v>
      </c>
      <c r="AH19" s="31">
        <f>+AH13-AH12*AG13</f>
        <v>4.5</v>
      </c>
      <c r="AI19" s="31">
        <v>0</v>
      </c>
      <c r="AJ19" s="31">
        <f>+AJ13-AJ12*AG13</f>
        <v>-0.75</v>
      </c>
      <c r="AK19" s="31">
        <v>1</v>
      </c>
      <c r="AL19" s="31"/>
      <c r="AM19" s="31">
        <f>+AM13-AM12*AG13</f>
        <v>4.5</v>
      </c>
      <c r="AN19" s="31">
        <v>0</v>
      </c>
      <c r="AO19" s="53" t="s">
        <v>78</v>
      </c>
      <c r="AP19" s="31">
        <f>+AM19/AH19</f>
        <v>1</v>
      </c>
    </row>
    <row r="20" spans="10:37" ht="12">
      <c r="J20" s="34">
        <f t="shared" si="0"/>
        <v>3</v>
      </c>
      <c r="AF20" s="48" t="s">
        <v>79</v>
      </c>
      <c r="AG20" s="8">
        <f>+AG17*$AN$17+AG18*$AN$18+AG19*$AN$19</f>
        <v>4</v>
      </c>
      <c r="AH20" s="52">
        <f>+AH17*$AN$17+AH18*$AN$18+AH19*$AN$19</f>
        <v>2</v>
      </c>
      <c r="AI20" s="8">
        <f>+AI17*$AN$17+AI18*$AN$18+AI19*$AN$19</f>
        <v>0</v>
      </c>
      <c r="AJ20" s="8">
        <f>+AJ17*$AN$17+AJ18*$AN$18+AJ19*$AN$19</f>
        <v>0.3333333333333333</v>
      </c>
      <c r="AK20" s="8">
        <f>+AK17*$AN$17+AK18*$AN$18+AK19*$AN$19</f>
        <v>0</v>
      </c>
    </row>
    <row r="21" spans="10:41" ht="12">
      <c r="J21" s="34">
        <f>+J22+1</f>
        <v>2</v>
      </c>
      <c r="N21" s="17" t="s">
        <v>31</v>
      </c>
      <c r="AF21" s="48" t="s">
        <v>80</v>
      </c>
      <c r="AG21" s="8">
        <f>+AG20-AG15</f>
        <v>0</v>
      </c>
      <c r="AH21" s="52">
        <f>+AH20-AH15</f>
        <v>-1</v>
      </c>
      <c r="AI21" s="1">
        <f>+AI20-AI15</f>
        <v>0</v>
      </c>
      <c r="AJ21" s="1">
        <f>+AJ20-AJ15</f>
        <v>0.3333333333333333</v>
      </c>
      <c r="AK21" s="1">
        <f>+AK20-AK15</f>
        <v>0</v>
      </c>
      <c r="AM21" s="50" t="s">
        <v>37</v>
      </c>
      <c r="AN21" s="51">
        <f>+AM17*AN17+AM18*AN18+AM19*AN19</f>
        <v>14</v>
      </c>
      <c r="AO21" s="17" t="s">
        <v>86</v>
      </c>
    </row>
    <row r="22" spans="5:41" ht="12">
      <c r="E22" s="17" t="s">
        <v>12</v>
      </c>
      <c r="F22" s="17" t="s">
        <v>13</v>
      </c>
      <c r="J22" s="34">
        <v>1</v>
      </c>
      <c r="AO22" s="17" t="s">
        <v>82</v>
      </c>
    </row>
    <row r="23" spans="4:41" ht="12">
      <c r="D23" s="17" t="s">
        <v>8</v>
      </c>
      <c r="E23">
        <v>4</v>
      </c>
      <c r="F23">
        <v>3</v>
      </c>
      <c r="J23" s="34">
        <v>0</v>
      </c>
      <c r="K23" s="35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G23" s="2" t="s">
        <v>0</v>
      </c>
      <c r="AH23" s="2" t="s">
        <v>1</v>
      </c>
      <c r="AI23" s="2" t="s">
        <v>2</v>
      </c>
      <c r="AJ23" s="2" t="s">
        <v>3</v>
      </c>
      <c r="AK23" s="2" t="s">
        <v>4</v>
      </c>
      <c r="AM23" s="2" t="s">
        <v>5</v>
      </c>
      <c r="AO23" s="17" t="s">
        <v>87</v>
      </c>
    </row>
    <row r="24" spans="5:41" ht="12">
      <c r="E24" s="17" t="s">
        <v>37</v>
      </c>
      <c r="J24" s="17" t="s">
        <v>29</v>
      </c>
      <c r="K24" s="37">
        <v>0</v>
      </c>
      <c r="L24" s="37">
        <v>1</v>
      </c>
      <c r="M24" s="37">
        <v>2</v>
      </c>
      <c r="N24" s="37"/>
      <c r="O24" s="37">
        <v>4</v>
      </c>
      <c r="P24" s="37">
        <f>+O24+1</f>
        <v>5</v>
      </c>
      <c r="Q24" s="37">
        <f aca="true" t="shared" si="2" ref="Q24:AB24">+P24+1</f>
        <v>6</v>
      </c>
      <c r="R24" s="37">
        <f t="shared" si="2"/>
        <v>7</v>
      </c>
      <c r="S24" s="37">
        <f t="shared" si="2"/>
        <v>8</v>
      </c>
      <c r="T24" s="37">
        <f t="shared" si="2"/>
        <v>9</v>
      </c>
      <c r="U24" s="37">
        <f t="shared" si="2"/>
        <v>10</v>
      </c>
      <c r="V24" s="37">
        <f t="shared" si="2"/>
        <v>11</v>
      </c>
      <c r="W24" s="37">
        <f t="shared" si="2"/>
        <v>12</v>
      </c>
      <c r="X24" s="37">
        <f t="shared" si="2"/>
        <v>13</v>
      </c>
      <c r="Y24" s="37">
        <f t="shared" si="2"/>
        <v>14</v>
      </c>
      <c r="Z24" s="37">
        <f t="shared" si="2"/>
        <v>15</v>
      </c>
      <c r="AA24" s="37">
        <f t="shared" si="2"/>
        <v>16</v>
      </c>
      <c r="AB24" s="37">
        <f t="shared" si="2"/>
        <v>17</v>
      </c>
      <c r="AC24" s="37"/>
      <c r="AD24" s="17" t="s">
        <v>20</v>
      </c>
      <c r="AG24" s="14">
        <v>0</v>
      </c>
      <c r="AH24" s="31">
        <v>6.5</v>
      </c>
      <c r="AI24" s="14">
        <v>1</v>
      </c>
      <c r="AJ24" s="14">
        <v>-0.25</v>
      </c>
      <c r="AK24" s="14">
        <v>0</v>
      </c>
      <c r="AL24" s="14"/>
      <c r="AM24" s="14">
        <v>42.3</v>
      </c>
      <c r="AO24" s="17" t="s">
        <v>88</v>
      </c>
    </row>
    <row r="25" spans="3:41" ht="12">
      <c r="C25" s="17" t="s">
        <v>29</v>
      </c>
      <c r="D25" s="39" t="s">
        <v>33</v>
      </c>
      <c r="E25">
        <v>0</v>
      </c>
      <c r="N25" s="17" t="s">
        <v>32</v>
      </c>
      <c r="AG25" s="14">
        <v>1</v>
      </c>
      <c r="AH25" s="31">
        <v>0.5</v>
      </c>
      <c r="AI25" s="14">
        <v>0</v>
      </c>
      <c r="AJ25" s="14">
        <v>0.08333333333333333</v>
      </c>
      <c r="AK25" s="14">
        <v>0</v>
      </c>
      <c r="AL25" s="14"/>
      <c r="AM25" s="14">
        <v>3.5</v>
      </c>
      <c r="AO25" s="17" t="s">
        <v>89</v>
      </c>
    </row>
    <row r="26" spans="3:39" ht="12">
      <c r="C26" s="17" t="s">
        <v>30</v>
      </c>
      <c r="D26" s="39" t="s">
        <v>34</v>
      </c>
      <c r="E26">
        <f>0*4+4*3</f>
        <v>12</v>
      </c>
      <c r="Q26" s="17" t="s">
        <v>28</v>
      </c>
      <c r="U26" s="17"/>
      <c r="AG26" s="31">
        <f>+AG19/4.5</f>
        <v>0</v>
      </c>
      <c r="AH26" s="31">
        <f aca="true" t="shared" si="3" ref="AH26:AM26">+AH19/4.5</f>
        <v>1</v>
      </c>
      <c r="AI26" s="31">
        <f t="shared" si="3"/>
        <v>0</v>
      </c>
      <c r="AJ26" s="31">
        <f t="shared" si="3"/>
        <v>-0.16666666666666666</v>
      </c>
      <c r="AK26" s="31">
        <f t="shared" si="3"/>
        <v>0.2222222222222222</v>
      </c>
      <c r="AL26" s="31"/>
      <c r="AM26" s="31">
        <f t="shared" si="3"/>
        <v>1</v>
      </c>
    </row>
    <row r="27" spans="3:32" ht="12">
      <c r="C27" s="40" t="s">
        <v>31</v>
      </c>
      <c r="D27" s="41" t="s">
        <v>35</v>
      </c>
      <c r="E27" s="42">
        <f>3*4+1*3</f>
        <v>15</v>
      </c>
      <c r="O27" s="17" t="s">
        <v>27</v>
      </c>
      <c r="AF27" s="17" t="s">
        <v>98</v>
      </c>
    </row>
    <row r="28" spans="3:42" ht="12">
      <c r="C28" s="17" t="s">
        <v>32</v>
      </c>
      <c r="D28" s="17" t="s">
        <v>36</v>
      </c>
      <c r="E28">
        <f>3.5*4+0*3</f>
        <v>14</v>
      </c>
      <c r="AF28" s="17" t="s">
        <v>25</v>
      </c>
      <c r="AG28" s="1">
        <v>4</v>
      </c>
      <c r="AH28" s="1">
        <v>3</v>
      </c>
      <c r="AI28" s="1">
        <v>0</v>
      </c>
      <c r="AJ28" s="1">
        <v>0</v>
      </c>
      <c r="AK28" s="1">
        <v>0</v>
      </c>
      <c r="AP28" t="s">
        <v>11</v>
      </c>
    </row>
    <row r="29" spans="32:41" ht="12">
      <c r="AF29" s="17" t="s">
        <v>26</v>
      </c>
      <c r="AG29" s="2" t="s">
        <v>0</v>
      </c>
      <c r="AH29" s="2" t="s">
        <v>1</v>
      </c>
      <c r="AI29" s="2" t="s">
        <v>2</v>
      </c>
      <c r="AJ29" s="2" t="s">
        <v>3</v>
      </c>
      <c r="AK29" s="2" t="s">
        <v>4</v>
      </c>
      <c r="AM29" s="2" t="s">
        <v>5</v>
      </c>
      <c r="AN29" s="2" t="s">
        <v>6</v>
      </c>
      <c r="AO29" s="2" t="s">
        <v>7</v>
      </c>
    </row>
    <row r="30" spans="3:42" ht="12">
      <c r="C30" s="17" t="s">
        <v>20</v>
      </c>
      <c r="D30" s="2">
        <v>3</v>
      </c>
      <c r="E30" s="1">
        <v>8</v>
      </c>
      <c r="F30" s="1">
        <v>1</v>
      </c>
      <c r="G30" s="1">
        <v>0</v>
      </c>
      <c r="H30" s="1">
        <v>0</v>
      </c>
      <c r="I30" s="17" t="s">
        <v>19</v>
      </c>
      <c r="J30" s="1">
        <v>52.8</v>
      </c>
      <c r="AG30" s="21">
        <v>0</v>
      </c>
      <c r="AH30" s="21">
        <v>0</v>
      </c>
      <c r="AI30" s="21">
        <v>1</v>
      </c>
      <c r="AJ30" s="54">
        <f>+AJ24-AH24</f>
        <v>-6.75</v>
      </c>
      <c r="AK30" s="54">
        <f>+AK24-AK26*AH24</f>
        <v>-1.4444444444444444</v>
      </c>
      <c r="AL30" s="22"/>
      <c r="AM30" s="21">
        <f>+AM24-AM26*AH24</f>
        <v>35.8</v>
      </c>
      <c r="AN30" s="21">
        <v>0</v>
      </c>
      <c r="AO30" s="21" t="s">
        <v>76</v>
      </c>
      <c r="AP30" s="14" t="e">
        <f>+AM30/AH30</f>
        <v>#DIV/0!</v>
      </c>
    </row>
    <row r="31" spans="33:42" ht="12">
      <c r="AG31" s="21">
        <v>1</v>
      </c>
      <c r="AH31" s="21">
        <v>0</v>
      </c>
      <c r="AI31" s="21">
        <v>0</v>
      </c>
      <c r="AJ31" s="54">
        <f>+AJ25-AJ26*AH25</f>
        <v>0.16666666666666666</v>
      </c>
      <c r="AK31" s="54">
        <f>+AK25-AK26*AH25</f>
        <v>-0.1111111111111111</v>
      </c>
      <c r="AL31" s="22"/>
      <c r="AM31" s="21">
        <f>+AM25-AM26*AH25</f>
        <v>3</v>
      </c>
      <c r="AN31" s="21">
        <v>4</v>
      </c>
      <c r="AO31" s="21" t="s">
        <v>0</v>
      </c>
      <c r="AP31" s="22" t="e">
        <f>+AM31/AH31</f>
        <v>#DIV/0!</v>
      </c>
    </row>
    <row r="32" spans="4:42" ht="12">
      <c r="D32">
        <f>3*3+8*1</f>
        <v>17</v>
      </c>
      <c r="E32" s="17" t="s">
        <v>19</v>
      </c>
      <c r="F32">
        <v>52.8</v>
      </c>
      <c r="AG32" s="21">
        <v>0</v>
      </c>
      <c r="AH32" s="21">
        <v>1</v>
      </c>
      <c r="AI32" s="21">
        <v>0</v>
      </c>
      <c r="AJ32" s="54">
        <v>-0.16666666666666666</v>
      </c>
      <c r="AK32" s="54">
        <v>0.2222222222222222</v>
      </c>
      <c r="AL32" s="22"/>
      <c r="AM32" s="21">
        <v>1</v>
      </c>
      <c r="AN32" s="21">
        <v>3</v>
      </c>
      <c r="AO32" s="21" t="s">
        <v>1</v>
      </c>
      <c r="AP32" s="22">
        <f>+AM32/AH32</f>
        <v>1</v>
      </c>
    </row>
    <row r="33" spans="32:37" ht="12">
      <c r="AF33" s="48" t="s">
        <v>79</v>
      </c>
      <c r="AG33" s="8">
        <f>+AG30*$AN$30+AG31*$AN$31+AG32*$AN$32</f>
        <v>4</v>
      </c>
      <c r="AH33" s="8">
        <f>+AH30*$AN$30+AH31*$AN$31+AH32*$AN$32</f>
        <v>3</v>
      </c>
      <c r="AI33" s="8">
        <f>+AI30*$AN$30+AI31*$AN$31+AI32*$AN$32</f>
        <v>0</v>
      </c>
      <c r="AJ33" s="8">
        <f>+AJ30*$AN$30+AJ31*$AN$31+AJ32*$AN$32</f>
        <v>0.16666666666666663</v>
      </c>
      <c r="AK33" s="8">
        <f>+AK30*$AN$30+AK31*$AN$31+AK32*$AN$32</f>
        <v>0.2222222222222222</v>
      </c>
    </row>
    <row r="34" spans="4:41" ht="12">
      <c r="D34" s="17" t="s">
        <v>39</v>
      </c>
      <c r="E34" s="17" t="s">
        <v>40</v>
      </c>
      <c r="F34">
        <v>52.8</v>
      </c>
      <c r="AF34" s="48" t="s">
        <v>80</v>
      </c>
      <c r="AG34" s="8">
        <f>+AG33-AG28</f>
        <v>0</v>
      </c>
      <c r="AH34" s="52">
        <f>+AH33-AH28</f>
        <v>0</v>
      </c>
      <c r="AI34" s="1">
        <f>+AI33-AI28</f>
        <v>0</v>
      </c>
      <c r="AJ34" s="55">
        <f>+AJ33-AJ28</f>
        <v>0.16666666666666663</v>
      </c>
      <c r="AK34" s="55">
        <f>+AK33-AK28</f>
        <v>0.2222222222222222</v>
      </c>
      <c r="AM34" s="50" t="s">
        <v>37</v>
      </c>
      <c r="AN34" s="51">
        <f>+AM30*AN30+AM31*AN31+AM32*AN32</f>
        <v>15</v>
      </c>
      <c r="AO34" s="17" t="s">
        <v>90</v>
      </c>
    </row>
    <row r="35" ht="12">
      <c r="AO35" s="17" t="s">
        <v>91</v>
      </c>
    </row>
    <row r="36" spans="5:41" ht="12">
      <c r="E36" s="17" t="s">
        <v>2</v>
      </c>
      <c r="F36">
        <f>52.8-17</f>
        <v>35.8</v>
      </c>
      <c r="J36" s="34"/>
      <c r="AO36" s="17" t="s">
        <v>92</v>
      </c>
    </row>
    <row r="37" spans="2:41" ht="12">
      <c r="B37" s="17" t="s">
        <v>25</v>
      </c>
      <c r="C37" s="1">
        <v>4</v>
      </c>
      <c r="D37" s="1">
        <v>3</v>
      </c>
      <c r="E37" s="1">
        <v>0</v>
      </c>
      <c r="F37" s="1">
        <v>0</v>
      </c>
      <c r="G37" s="1">
        <v>0</v>
      </c>
      <c r="J37" s="34">
        <f aca="true" t="shared" si="4" ref="J37:J52">+J38+1</f>
        <v>18</v>
      </c>
      <c r="AO37" s="17" t="s">
        <v>88</v>
      </c>
    </row>
    <row r="38" spans="2:41" ht="12">
      <c r="B38" s="17" t="s">
        <v>26</v>
      </c>
      <c r="C38" s="2" t="s">
        <v>0</v>
      </c>
      <c r="D38" s="2" t="s">
        <v>1</v>
      </c>
      <c r="E38" s="2" t="s">
        <v>2</v>
      </c>
      <c r="F38" s="2" t="s">
        <v>3</v>
      </c>
      <c r="G38" s="2" t="s">
        <v>4</v>
      </c>
      <c r="I38" s="2" t="s">
        <v>5</v>
      </c>
      <c r="J38" s="34">
        <f t="shared" si="4"/>
        <v>17</v>
      </c>
      <c r="AF38" s="17" t="s">
        <v>111</v>
      </c>
      <c r="AH38" s="17" t="s">
        <v>113</v>
      </c>
      <c r="AO38" s="17" t="s">
        <v>93</v>
      </c>
    </row>
    <row r="39" spans="2:10" ht="12">
      <c r="B39" s="17" t="s">
        <v>20</v>
      </c>
      <c r="C39" s="2">
        <v>3</v>
      </c>
      <c r="D39" s="1">
        <v>8</v>
      </c>
      <c r="E39" s="1">
        <v>1</v>
      </c>
      <c r="F39" s="1">
        <v>0</v>
      </c>
      <c r="G39" s="1">
        <v>0</v>
      </c>
      <c r="H39" s="17" t="s">
        <v>19</v>
      </c>
      <c r="I39" s="1">
        <v>52.8</v>
      </c>
      <c r="J39" s="34">
        <f t="shared" si="4"/>
        <v>16</v>
      </c>
    </row>
    <row r="40" spans="2:35" ht="12">
      <c r="B40" s="43" t="s">
        <v>21</v>
      </c>
      <c r="C40" s="2">
        <v>12</v>
      </c>
      <c r="D40" s="2">
        <v>6</v>
      </c>
      <c r="E40" s="2">
        <v>0</v>
      </c>
      <c r="F40" s="2">
        <v>1</v>
      </c>
      <c r="G40" s="2">
        <v>0</v>
      </c>
      <c r="H40" s="33" t="s">
        <v>19</v>
      </c>
      <c r="I40" s="2">
        <v>42</v>
      </c>
      <c r="J40" s="34">
        <f t="shared" si="4"/>
        <v>15</v>
      </c>
      <c r="AF40" s="17" t="s">
        <v>114</v>
      </c>
      <c r="AI40" s="17" t="s">
        <v>117</v>
      </c>
    </row>
    <row r="41" spans="2:10" ht="12">
      <c r="B41" s="43" t="s">
        <v>38</v>
      </c>
      <c r="C41" s="2">
        <v>9</v>
      </c>
      <c r="D41" s="8">
        <v>9</v>
      </c>
      <c r="E41" s="8">
        <v>0</v>
      </c>
      <c r="F41" s="8">
        <v>0</v>
      </c>
      <c r="G41" s="8">
        <v>1</v>
      </c>
      <c r="H41" s="17" t="s">
        <v>19</v>
      </c>
      <c r="I41" s="1">
        <v>36</v>
      </c>
      <c r="J41" s="34">
        <f t="shared" si="4"/>
        <v>14</v>
      </c>
    </row>
    <row r="42" spans="3:32" ht="12">
      <c r="C42" s="17" t="s">
        <v>21</v>
      </c>
      <c r="D42" s="17" t="s">
        <v>53</v>
      </c>
      <c r="E42" s="39" t="s">
        <v>54</v>
      </c>
      <c r="J42" s="34">
        <f t="shared" si="4"/>
        <v>13</v>
      </c>
      <c r="AF42" s="17" t="s">
        <v>115</v>
      </c>
    </row>
    <row r="43" spans="3:10" ht="12">
      <c r="C43" s="17" t="s">
        <v>38</v>
      </c>
      <c r="D43" s="17" t="s">
        <v>55</v>
      </c>
      <c r="E43" s="39" t="s">
        <v>56</v>
      </c>
      <c r="J43" s="34">
        <f t="shared" si="4"/>
        <v>12</v>
      </c>
    </row>
    <row r="44" ht="12">
      <c r="J44" s="34">
        <f t="shared" si="4"/>
        <v>11</v>
      </c>
    </row>
    <row r="45" ht="12">
      <c r="J45" s="34">
        <f t="shared" si="4"/>
        <v>10</v>
      </c>
    </row>
    <row r="46" ht="12">
      <c r="J46" s="34">
        <f t="shared" si="4"/>
        <v>9</v>
      </c>
    </row>
    <row r="47" ht="12">
      <c r="J47" s="34">
        <f t="shared" si="4"/>
        <v>8</v>
      </c>
    </row>
    <row r="48" ht="12">
      <c r="J48" s="34">
        <f t="shared" si="4"/>
        <v>7</v>
      </c>
    </row>
    <row r="49" ht="12">
      <c r="J49" s="34">
        <f t="shared" si="4"/>
        <v>6</v>
      </c>
    </row>
    <row r="50" ht="12">
      <c r="J50" s="34">
        <f t="shared" si="4"/>
        <v>5</v>
      </c>
    </row>
    <row r="51" spans="10:11" ht="12">
      <c r="J51" s="34">
        <f t="shared" si="4"/>
        <v>4</v>
      </c>
      <c r="K51" s="17" t="s">
        <v>30</v>
      </c>
    </row>
    <row r="52" ht="12">
      <c r="J52" s="34">
        <f t="shared" si="4"/>
        <v>3</v>
      </c>
    </row>
    <row r="53" spans="10:14" ht="12">
      <c r="J53" s="34">
        <f>+J54+1</f>
        <v>2</v>
      </c>
      <c r="N53" s="17" t="s">
        <v>31</v>
      </c>
    </row>
    <row r="54" ht="12">
      <c r="J54" s="34">
        <v>1</v>
      </c>
    </row>
    <row r="55" spans="10:29" ht="12">
      <c r="J55" s="34">
        <v>0</v>
      </c>
      <c r="K55" s="35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</row>
    <row r="56" spans="10:30" ht="12">
      <c r="J56" s="17" t="s">
        <v>29</v>
      </c>
      <c r="K56" s="37">
        <v>0</v>
      </c>
      <c r="L56" s="37">
        <v>1</v>
      </c>
      <c r="M56" s="37">
        <v>2</v>
      </c>
      <c r="N56" s="37"/>
      <c r="O56" s="37">
        <v>4</v>
      </c>
      <c r="P56" s="37">
        <f>+O56+1</f>
        <v>5</v>
      </c>
      <c r="Q56" s="37">
        <f aca="true" t="shared" si="5" ref="Q56:AB56">+P56+1</f>
        <v>6</v>
      </c>
      <c r="R56" s="37">
        <f t="shared" si="5"/>
        <v>7</v>
      </c>
      <c r="S56" s="37">
        <f t="shared" si="5"/>
        <v>8</v>
      </c>
      <c r="T56" s="37">
        <f t="shared" si="5"/>
        <v>9</v>
      </c>
      <c r="U56" s="37">
        <f t="shared" si="5"/>
        <v>10</v>
      </c>
      <c r="V56" s="37">
        <f t="shared" si="5"/>
        <v>11</v>
      </c>
      <c r="W56" s="37">
        <f t="shared" si="5"/>
        <v>12</v>
      </c>
      <c r="X56" s="37">
        <f t="shared" si="5"/>
        <v>13</v>
      </c>
      <c r="Y56" s="37">
        <f t="shared" si="5"/>
        <v>14</v>
      </c>
      <c r="Z56" s="37">
        <f t="shared" si="5"/>
        <v>15</v>
      </c>
      <c r="AA56" s="37">
        <f t="shared" si="5"/>
        <v>16</v>
      </c>
      <c r="AB56" s="37">
        <f t="shared" si="5"/>
        <v>17</v>
      </c>
      <c r="AC56" s="37"/>
      <c r="AD56" s="17" t="s">
        <v>20</v>
      </c>
    </row>
    <row r="57" ht="12">
      <c r="N57" s="17" t="s">
        <v>32</v>
      </c>
    </row>
    <row r="58" spans="17:21" ht="12">
      <c r="Q58" s="17" t="s">
        <v>28</v>
      </c>
      <c r="U58" s="17"/>
    </row>
    <row r="59" ht="12">
      <c r="O59" s="17" t="s">
        <v>27</v>
      </c>
    </row>
    <row r="62" ht="12">
      <c r="J62" s="1"/>
    </row>
    <row r="63" spans="31:37" ht="12">
      <c r="AE63" s="17" t="s">
        <v>98</v>
      </c>
      <c r="AF63" s="17" t="s">
        <v>25</v>
      </c>
      <c r="AG63" s="1">
        <v>4</v>
      </c>
      <c r="AH63" s="1">
        <v>3</v>
      </c>
      <c r="AI63" s="1">
        <v>0</v>
      </c>
      <c r="AJ63" s="1">
        <v>0</v>
      </c>
      <c r="AK63" s="1">
        <v>0</v>
      </c>
    </row>
    <row r="64" spans="32:41" ht="12">
      <c r="AF64" s="17" t="s">
        <v>26</v>
      </c>
      <c r="AG64" s="2" t="s">
        <v>0</v>
      </c>
      <c r="AH64" s="2" t="s">
        <v>1</v>
      </c>
      <c r="AI64" s="2" t="s">
        <v>2</v>
      </c>
      <c r="AJ64" s="2" t="s">
        <v>3</v>
      </c>
      <c r="AK64" s="2" t="s">
        <v>4</v>
      </c>
      <c r="AM64" s="2" t="s">
        <v>5</v>
      </c>
      <c r="AN64" s="2" t="s">
        <v>6</v>
      </c>
      <c r="AO64" s="2" t="s">
        <v>7</v>
      </c>
    </row>
    <row r="65" spans="33:41" ht="12">
      <c r="AG65" s="21">
        <v>0</v>
      </c>
      <c r="AH65" s="21">
        <v>0</v>
      </c>
      <c r="AI65" s="59">
        <v>1</v>
      </c>
      <c r="AJ65" s="60">
        <v>-6.75</v>
      </c>
      <c r="AK65" s="60">
        <v>-1.4444444444444444</v>
      </c>
      <c r="AL65" s="22"/>
      <c r="AM65" s="21">
        <v>35.8</v>
      </c>
      <c r="AN65" s="21">
        <v>0</v>
      </c>
      <c r="AO65" s="21" t="s">
        <v>76</v>
      </c>
    </row>
    <row r="66" spans="33:41" ht="12">
      <c r="AG66" s="21">
        <v>1</v>
      </c>
      <c r="AH66" s="21">
        <v>0</v>
      </c>
      <c r="AI66" s="59">
        <v>0</v>
      </c>
      <c r="AJ66" s="60">
        <v>0.16666666666666666</v>
      </c>
      <c r="AK66" s="60">
        <v>-0.1111111111111111</v>
      </c>
      <c r="AL66" s="22"/>
      <c r="AM66" s="21">
        <v>3</v>
      </c>
      <c r="AN66" s="21">
        <v>4</v>
      </c>
      <c r="AO66" s="21" t="s">
        <v>0</v>
      </c>
    </row>
    <row r="67" spans="33:41" ht="12">
      <c r="AG67" s="21">
        <v>0</v>
      </c>
      <c r="AH67" s="21">
        <v>1</v>
      </c>
      <c r="AI67" s="59">
        <v>0</v>
      </c>
      <c r="AJ67" s="60">
        <v>-0.16666666666666666</v>
      </c>
      <c r="AK67" s="60">
        <v>0.2222222222222222</v>
      </c>
      <c r="AL67" s="22"/>
      <c r="AM67" s="21">
        <v>1</v>
      </c>
      <c r="AN67" s="21">
        <v>3</v>
      </c>
      <c r="AO67" s="21" t="s">
        <v>1</v>
      </c>
    </row>
    <row r="68" spans="32:37" ht="12">
      <c r="AF68" s="48" t="s">
        <v>79</v>
      </c>
      <c r="AG68" s="8">
        <v>4</v>
      </c>
      <c r="AH68" s="8">
        <v>3</v>
      </c>
      <c r="AI68" s="8">
        <v>0</v>
      </c>
      <c r="AJ68" s="8">
        <v>0.16666666666666663</v>
      </c>
      <c r="AK68" s="8">
        <v>0.2222222222222222</v>
      </c>
    </row>
    <row r="69" spans="32:41" ht="12">
      <c r="AF69" s="48" t="s">
        <v>80</v>
      </c>
      <c r="AG69" s="8">
        <v>0</v>
      </c>
      <c r="AH69" s="52">
        <v>0</v>
      </c>
      <c r="AI69" s="1">
        <v>0</v>
      </c>
      <c r="AJ69" s="55">
        <v>0.16666666666666663</v>
      </c>
      <c r="AK69" s="55">
        <v>0.2222222222222222</v>
      </c>
      <c r="AM69" s="50" t="s">
        <v>37</v>
      </c>
      <c r="AN69" s="51">
        <v>15</v>
      </c>
      <c r="AO69" s="17" t="s">
        <v>90</v>
      </c>
    </row>
    <row r="72" spans="33:39" ht="12">
      <c r="AG72" s="59">
        <v>1</v>
      </c>
      <c r="AH72" s="60">
        <v>-6.75</v>
      </c>
      <c r="AI72" s="60">
        <v>-1.4444444444444444</v>
      </c>
      <c r="AK72">
        <v>1</v>
      </c>
      <c r="AM72" s="62">
        <f>+AG72*$AK$72+AH72*$AK$73+AI72*$AK$74</f>
        <v>-7.194444444444445</v>
      </c>
    </row>
    <row r="73" spans="33:39" ht="12">
      <c r="AG73" s="59">
        <v>0</v>
      </c>
      <c r="AH73" s="60">
        <v>0.16666666666666666</v>
      </c>
      <c r="AI73" s="60">
        <v>-0.1111111111111111</v>
      </c>
      <c r="AJ73" s="17" t="s">
        <v>116</v>
      </c>
      <c r="AK73">
        <v>1</v>
      </c>
      <c r="AL73" s="39" t="s">
        <v>95</v>
      </c>
      <c r="AM73" s="62">
        <f>+AG73*$AK$72+AH73*$AK$73+AI73*$AK$74</f>
        <v>0.05555555555555555</v>
      </c>
    </row>
    <row r="74" spans="33:39" ht="12">
      <c r="AG74" s="59">
        <v>0</v>
      </c>
      <c r="AH74" s="60">
        <v>-0.16666666666666666</v>
      </c>
      <c r="AI74" s="60">
        <v>0.2222222222222222</v>
      </c>
      <c r="AK74">
        <v>1</v>
      </c>
      <c r="AM74" s="62">
        <f>+AG74*$AK$72+AH74*$AK$73+AI74*$AK$74</f>
        <v>0.05555555555555555</v>
      </c>
    </row>
    <row r="77" spans="31:38" ht="12">
      <c r="AE77" s="17" t="s">
        <v>98</v>
      </c>
      <c r="AF77" s="17" t="s">
        <v>25</v>
      </c>
      <c r="AG77" s="1">
        <v>4</v>
      </c>
      <c r="AH77" s="1">
        <v>3</v>
      </c>
      <c r="AI77" s="1">
        <v>0</v>
      </c>
      <c r="AJ77" s="1">
        <v>0</v>
      </c>
      <c r="AK77" s="1">
        <v>0</v>
      </c>
      <c r="AL77" s="48"/>
    </row>
    <row r="78" spans="32:42" ht="12">
      <c r="AF78" s="17" t="s">
        <v>26</v>
      </c>
      <c r="AG78" s="2" t="s">
        <v>0</v>
      </c>
      <c r="AH78" s="2" t="s">
        <v>1</v>
      </c>
      <c r="AI78" s="2" t="s">
        <v>2</v>
      </c>
      <c r="AJ78" s="2" t="s">
        <v>3</v>
      </c>
      <c r="AK78" s="2" t="s">
        <v>4</v>
      </c>
      <c r="AL78" s="61" t="s">
        <v>112</v>
      </c>
      <c r="AN78" s="2" t="s">
        <v>5</v>
      </c>
      <c r="AO78" s="2" t="s">
        <v>6</v>
      </c>
      <c r="AP78" s="2" t="s">
        <v>7</v>
      </c>
    </row>
    <row r="79" spans="33:42" ht="12">
      <c r="AG79" s="21">
        <v>0</v>
      </c>
      <c r="AH79" s="21">
        <v>0</v>
      </c>
      <c r="AI79" s="59">
        <v>1</v>
      </c>
      <c r="AJ79" s="60">
        <v>-6.75</v>
      </c>
      <c r="AK79" s="60">
        <v>-1.4444444444444444</v>
      </c>
      <c r="AL79" s="60">
        <v>-7.194444444444445</v>
      </c>
      <c r="AN79" s="21">
        <v>35.8</v>
      </c>
      <c r="AO79" s="21">
        <v>0</v>
      </c>
      <c r="AP79" s="21" t="s">
        <v>76</v>
      </c>
    </row>
    <row r="80" spans="33:42" ht="12">
      <c r="AG80" s="21">
        <v>1</v>
      </c>
      <c r="AH80" s="21">
        <v>0</v>
      </c>
      <c r="AI80" s="59">
        <v>0</v>
      </c>
      <c r="AJ80" s="60">
        <v>0.16666666666666666</v>
      </c>
      <c r="AK80" s="60">
        <v>-0.1111111111111111</v>
      </c>
      <c r="AL80" s="60">
        <v>0.05555555555555555</v>
      </c>
      <c r="AN80" s="21">
        <v>3</v>
      </c>
      <c r="AO80" s="21">
        <v>4</v>
      </c>
      <c r="AP80" s="21" t="s">
        <v>0</v>
      </c>
    </row>
    <row r="81" spans="33:42" ht="12">
      <c r="AG81" s="21">
        <v>0</v>
      </c>
      <c r="AH81" s="21">
        <v>1</v>
      </c>
      <c r="AI81" s="59">
        <v>0</v>
      </c>
      <c r="AJ81" s="60">
        <v>-0.16666666666666666</v>
      </c>
      <c r="AK81" s="60">
        <v>0.2222222222222222</v>
      </c>
      <c r="AL81" s="60">
        <v>0.05555555555555555</v>
      </c>
      <c r="AN81" s="21">
        <v>1</v>
      </c>
      <c r="AO81" s="21">
        <v>3</v>
      </c>
      <c r="AP81" s="21" t="s">
        <v>1</v>
      </c>
    </row>
    <row r="82" spans="32:38" ht="12">
      <c r="AF82" s="48" t="s">
        <v>79</v>
      </c>
      <c r="AG82" s="8">
        <v>4</v>
      </c>
      <c r="AH82" s="8">
        <v>3</v>
      </c>
      <c r="AI82" s="8">
        <v>0</v>
      </c>
      <c r="AJ82" s="8">
        <v>0.16666666666666663</v>
      </c>
      <c r="AK82" s="8">
        <v>0.2222222222222222</v>
      </c>
      <c r="AL82" s="63">
        <f>+AL79*AO79+AL80*AO80+AL81*AO81</f>
        <v>0.38888888888888884</v>
      </c>
    </row>
    <row r="83" spans="32:42" ht="12">
      <c r="AF83" s="48" t="s">
        <v>80</v>
      </c>
      <c r="AG83" s="8">
        <v>0</v>
      </c>
      <c r="AH83" s="52">
        <v>0</v>
      </c>
      <c r="AI83" s="1">
        <v>0</v>
      </c>
      <c r="AJ83" s="55">
        <v>0.16666666666666663</v>
      </c>
      <c r="AK83" s="55">
        <v>0.2222222222222222</v>
      </c>
      <c r="AL83" s="55"/>
      <c r="AN83" s="50" t="s">
        <v>37</v>
      </c>
      <c r="AO83" s="51">
        <v>15</v>
      </c>
      <c r="AP83" s="17" t="s">
        <v>90</v>
      </c>
    </row>
    <row r="107" spans="34:35" ht="12.75" thickBot="1">
      <c r="AH107" s="40" t="s">
        <v>0</v>
      </c>
      <c r="AI107" s="40" t="s">
        <v>1</v>
      </c>
    </row>
    <row r="108" spans="34:35" ht="12.75" thickBot="1">
      <c r="AH108" s="70">
        <v>3</v>
      </c>
      <c r="AI108" s="70">
        <v>1</v>
      </c>
    </row>
    <row r="109" spans="33:35" ht="12">
      <c r="AG109" s="17" t="s">
        <v>122</v>
      </c>
      <c r="AH109">
        <v>4</v>
      </c>
      <c r="AI109">
        <v>3</v>
      </c>
    </row>
    <row r="110" spans="33:35" ht="12">
      <c r="AG110" s="17" t="s">
        <v>123</v>
      </c>
      <c r="AH110" s="71">
        <f>+AH108*AH109+AI109*AI108</f>
        <v>15</v>
      </c>
      <c r="AI110" s="71"/>
    </row>
    <row r="111" spans="34:37" ht="12">
      <c r="AH111">
        <v>3</v>
      </c>
      <c r="AI111">
        <v>8</v>
      </c>
      <c r="AJ111" s="17" t="s">
        <v>19</v>
      </c>
      <c r="AK111">
        <v>52.8</v>
      </c>
    </row>
    <row r="112" spans="34:37" ht="12">
      <c r="AH112">
        <v>12</v>
      </c>
      <c r="AI112">
        <v>6</v>
      </c>
      <c r="AJ112" s="17" t="s">
        <v>19</v>
      </c>
      <c r="AK112">
        <v>42</v>
      </c>
    </row>
    <row r="113" spans="34:37" ht="12">
      <c r="AH113">
        <v>9</v>
      </c>
      <c r="AI113">
        <v>9</v>
      </c>
      <c r="AJ113" s="17" t="s">
        <v>19</v>
      </c>
      <c r="AK113">
        <v>36</v>
      </c>
    </row>
    <row r="115" spans="35:38" ht="12">
      <c r="AI115">
        <f>+AH111*AH108+AI111*AI108</f>
        <v>17</v>
      </c>
      <c r="AJ115" s="17" t="s">
        <v>19</v>
      </c>
      <c r="AK115">
        <v>52.8</v>
      </c>
      <c r="AL115">
        <f>+AK115-AI115</f>
        <v>35.8</v>
      </c>
    </row>
    <row r="116" spans="35:37" ht="12">
      <c r="AI116" s="42">
        <f>+AH112*AH108+AI112*AI108</f>
        <v>42</v>
      </c>
      <c r="AJ116" s="40" t="s">
        <v>19</v>
      </c>
      <c r="AK116" s="42">
        <v>42</v>
      </c>
    </row>
    <row r="117" spans="35:37" ht="12">
      <c r="AI117" s="42">
        <f>+AH113*AH108+AI113*AI108</f>
        <v>36</v>
      </c>
      <c r="AJ117" s="40" t="s">
        <v>19</v>
      </c>
      <c r="AK117" s="42">
        <v>36</v>
      </c>
    </row>
    <row r="120" spans="35:40" ht="12">
      <c r="AI120" s="17" t="s">
        <v>211</v>
      </c>
      <c r="AN120" s="17" t="s">
        <v>199</v>
      </c>
    </row>
    <row r="129" ht="12">
      <c r="AN129" s="17" t="s">
        <v>212</v>
      </c>
    </row>
    <row r="130" spans="40:43" ht="12.75">
      <c r="AN130" s="17" t="s">
        <v>213</v>
      </c>
      <c r="AO130" s="17" t="s">
        <v>216</v>
      </c>
      <c r="AP130" s="45" t="s">
        <v>64</v>
      </c>
      <c r="AQ130">
        <v>4</v>
      </c>
    </row>
    <row r="131" spans="40:43" ht="12.75">
      <c r="AN131" s="17" t="s">
        <v>214</v>
      </c>
      <c r="AO131" s="17" t="s">
        <v>217</v>
      </c>
      <c r="AP131" s="45" t="s">
        <v>64</v>
      </c>
      <c r="AQ131">
        <v>3</v>
      </c>
    </row>
    <row r="133" spans="40:41" ht="12">
      <c r="AN133" s="17" t="s">
        <v>203</v>
      </c>
      <c r="AO133" s="17" t="s">
        <v>215</v>
      </c>
    </row>
    <row r="135" ht="12">
      <c r="AO135" s="17" t="s">
        <v>218</v>
      </c>
    </row>
    <row r="143" spans="36:41" ht="12">
      <c r="AJ143" s="17" t="s">
        <v>211</v>
      </c>
      <c r="AO143" s="17" t="s">
        <v>199</v>
      </c>
    </row>
    <row r="152" ht="12">
      <c r="AO152" s="17" t="s">
        <v>212</v>
      </c>
    </row>
    <row r="153" spans="41:44" ht="12.75">
      <c r="AO153" s="17" t="s">
        <v>213</v>
      </c>
      <c r="AP153" s="17" t="s">
        <v>219</v>
      </c>
      <c r="AQ153" s="45" t="s">
        <v>64</v>
      </c>
      <c r="AR153">
        <v>4</v>
      </c>
    </row>
    <row r="154" spans="41:44" ht="12.75">
      <c r="AO154" s="17" t="s">
        <v>214</v>
      </c>
      <c r="AP154" s="17" t="s">
        <v>221</v>
      </c>
      <c r="AQ154" s="45" t="s">
        <v>64</v>
      </c>
      <c r="AR154">
        <v>3</v>
      </c>
    </row>
    <row r="156" spans="41:42" ht="12">
      <c r="AO156" s="17" t="s">
        <v>203</v>
      </c>
      <c r="AP156" s="17" t="s">
        <v>220</v>
      </c>
    </row>
    <row r="158" ht="12">
      <c r="AP158" s="17" t="s">
        <v>218</v>
      </c>
    </row>
  </sheetData>
  <sheetProtection/>
  <mergeCells count="1">
    <mergeCell ref="AH110:AI110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140625" style="0" customWidth="1"/>
    <col min="2" max="2" width="8.140625" style="0" bestFit="1" customWidth="1"/>
    <col min="3" max="3" width="7.8515625" style="0" bestFit="1" customWidth="1"/>
    <col min="4" max="4" width="15.00390625" style="0" bestFit="1" customWidth="1"/>
    <col min="5" max="5" width="17.7109375" style="0" bestFit="1" customWidth="1"/>
    <col min="6" max="6" width="11.28125" style="0" bestFit="1" customWidth="1"/>
    <col min="7" max="7" width="7.421875" style="0" bestFit="1" customWidth="1"/>
  </cols>
  <sheetData>
    <row r="1" ht="12.75">
      <c r="A1" s="72" t="s">
        <v>124</v>
      </c>
    </row>
    <row r="2" ht="12.75">
      <c r="A2" s="72" t="s">
        <v>184</v>
      </c>
    </row>
    <row r="3" ht="12.75">
      <c r="A3" s="72" t="s">
        <v>185</v>
      </c>
    </row>
    <row r="4" ht="12.75">
      <c r="A4" s="72" t="s">
        <v>127</v>
      </c>
    </row>
    <row r="5" ht="12.75">
      <c r="A5" s="72" t="s">
        <v>128</v>
      </c>
    </row>
    <row r="6" spans="1:2" ht="12.75">
      <c r="A6" s="72"/>
      <c r="B6" t="s">
        <v>129</v>
      </c>
    </row>
    <row r="7" spans="1:2" ht="12.75">
      <c r="A7" s="72"/>
      <c r="B7" t="s">
        <v>130</v>
      </c>
    </row>
    <row r="8" spans="1:2" ht="12.75">
      <c r="A8" s="72"/>
      <c r="B8" t="s">
        <v>131</v>
      </c>
    </row>
    <row r="9" ht="12.75">
      <c r="A9" s="72" t="s">
        <v>132</v>
      </c>
    </row>
    <row r="10" ht="12">
      <c r="B10" t="s">
        <v>133</v>
      </c>
    </row>
    <row r="11" ht="12">
      <c r="B11" t="s">
        <v>134</v>
      </c>
    </row>
    <row r="14" ht="12.75" thickBot="1">
      <c r="A14" t="s">
        <v>135</v>
      </c>
    </row>
    <row r="15" spans="2:5" ht="13.5" thickBot="1">
      <c r="B15" s="74" t="s">
        <v>136</v>
      </c>
      <c r="C15" s="74" t="s">
        <v>137</v>
      </c>
      <c r="D15" s="74" t="s">
        <v>138</v>
      </c>
      <c r="E15" s="74" t="s">
        <v>139</v>
      </c>
    </row>
    <row r="16" spans="2:5" ht="12.75" thickBot="1">
      <c r="B16" s="73" t="s">
        <v>186</v>
      </c>
      <c r="C16" s="73" t="s">
        <v>187</v>
      </c>
      <c r="D16" s="76">
        <v>0</v>
      </c>
      <c r="E16" s="76">
        <v>428000</v>
      </c>
    </row>
    <row r="19" ht="12.75" thickBot="1">
      <c r="A19" t="s">
        <v>140</v>
      </c>
    </row>
    <row r="20" spans="2:6" ht="13.5" thickBot="1">
      <c r="B20" s="74" t="s">
        <v>136</v>
      </c>
      <c r="C20" s="74" t="s">
        <v>137</v>
      </c>
      <c r="D20" s="74" t="s">
        <v>138</v>
      </c>
      <c r="E20" s="74" t="s">
        <v>139</v>
      </c>
      <c r="F20" s="74" t="s">
        <v>141</v>
      </c>
    </row>
    <row r="21" spans="2:6" ht="12">
      <c r="B21" s="75" t="s">
        <v>188</v>
      </c>
      <c r="C21" s="75" t="s">
        <v>12</v>
      </c>
      <c r="D21" s="77">
        <v>0</v>
      </c>
      <c r="E21" s="77">
        <v>8000.000000000003</v>
      </c>
      <c r="F21" s="75" t="s">
        <v>150</v>
      </c>
    </row>
    <row r="22" spans="2:6" ht="12.75" thickBot="1">
      <c r="B22" s="73" t="s">
        <v>189</v>
      </c>
      <c r="C22" s="73" t="s">
        <v>13</v>
      </c>
      <c r="D22" s="76">
        <v>0</v>
      </c>
      <c r="E22" s="76">
        <v>13999.999999999996</v>
      </c>
      <c r="F22" s="73" t="s">
        <v>150</v>
      </c>
    </row>
    <row r="25" ht="12.75" thickBot="1">
      <c r="A25" t="s">
        <v>142</v>
      </c>
    </row>
    <row r="26" spans="2:7" ht="13.5" thickBot="1">
      <c r="B26" s="74" t="s">
        <v>136</v>
      </c>
      <c r="C26" s="74" t="s">
        <v>137</v>
      </c>
      <c r="D26" s="74" t="s">
        <v>143</v>
      </c>
      <c r="E26" s="74" t="s">
        <v>144</v>
      </c>
      <c r="F26" s="74" t="s">
        <v>145</v>
      </c>
      <c r="G26" s="74" t="s">
        <v>146</v>
      </c>
    </row>
    <row r="27" spans="2:7" ht="12">
      <c r="B27" s="75" t="s">
        <v>190</v>
      </c>
      <c r="C27" s="75" t="s">
        <v>13</v>
      </c>
      <c r="D27" s="77">
        <v>1100</v>
      </c>
      <c r="E27" s="75" t="s">
        <v>191</v>
      </c>
      <c r="F27" s="75" t="s">
        <v>157</v>
      </c>
      <c r="G27" s="75">
        <v>0</v>
      </c>
    </row>
    <row r="28" spans="2:7" ht="12">
      <c r="B28" s="75" t="s">
        <v>192</v>
      </c>
      <c r="C28" s="75" t="s">
        <v>13</v>
      </c>
      <c r="D28" s="77">
        <v>1800</v>
      </c>
      <c r="E28" s="75" t="s">
        <v>193</v>
      </c>
      <c r="F28" s="75" t="s">
        <v>157</v>
      </c>
      <c r="G28" s="75">
        <v>0</v>
      </c>
    </row>
    <row r="29" spans="2:7" ht="12">
      <c r="B29" s="75" t="s">
        <v>194</v>
      </c>
      <c r="C29" s="75" t="s">
        <v>13</v>
      </c>
      <c r="D29" s="77">
        <v>1500.0000000000002</v>
      </c>
      <c r="E29" s="75" t="s">
        <v>195</v>
      </c>
      <c r="F29" s="75" t="s">
        <v>154</v>
      </c>
      <c r="G29" s="75">
        <v>499.9999999999998</v>
      </c>
    </row>
    <row r="30" spans="2:7" ht="12">
      <c r="B30" s="75" t="s">
        <v>188</v>
      </c>
      <c r="C30" s="75" t="s">
        <v>12</v>
      </c>
      <c r="D30" s="77">
        <v>8000.000000000003</v>
      </c>
      <c r="E30" s="75" t="s">
        <v>196</v>
      </c>
      <c r="F30" s="75" t="s">
        <v>154</v>
      </c>
      <c r="G30" s="77">
        <v>8000.000000000003</v>
      </c>
    </row>
    <row r="31" spans="2:7" ht="12.75" thickBot="1">
      <c r="B31" s="73" t="s">
        <v>189</v>
      </c>
      <c r="C31" s="73" t="s">
        <v>13</v>
      </c>
      <c r="D31" s="76">
        <v>13999.999999999996</v>
      </c>
      <c r="E31" s="73" t="s">
        <v>197</v>
      </c>
      <c r="F31" s="73" t="s">
        <v>154</v>
      </c>
      <c r="G31" s="76">
        <v>13999.999999999996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showGridLines="0" zoomScalePageLayoutView="0" workbookViewId="0" topLeftCell="A1">
      <selection activeCell="I12" sqref="I12"/>
    </sheetView>
  </sheetViews>
  <sheetFormatPr defaultColWidth="11.421875" defaultRowHeight="12.75"/>
  <cols>
    <col min="1" max="1" width="2.140625" style="0" customWidth="1"/>
    <col min="2" max="2" width="8.140625" style="0" bestFit="1" customWidth="1"/>
    <col min="3" max="3" width="7.57421875" style="0" bestFit="1" customWidth="1"/>
    <col min="4" max="4" width="5.8515625" style="0" bestFit="1" customWidth="1"/>
    <col min="5" max="5" width="8.8515625" style="0" bestFit="1" customWidth="1"/>
    <col min="6" max="6" width="12.57421875" style="0" bestFit="1" customWidth="1"/>
    <col min="7" max="7" width="11.8515625" style="0" bestFit="1" customWidth="1"/>
    <col min="8" max="8" width="9.7109375" style="0" bestFit="1" customWidth="1"/>
  </cols>
  <sheetData>
    <row r="1" ht="12.75">
      <c r="A1" s="72" t="s">
        <v>162</v>
      </c>
    </row>
    <row r="2" ht="12.75">
      <c r="A2" s="72" t="s">
        <v>184</v>
      </c>
    </row>
    <row r="3" ht="12.75">
      <c r="A3" s="72" t="s">
        <v>185</v>
      </c>
    </row>
    <row r="6" ht="12.75" thickBot="1">
      <c r="A6" t="s">
        <v>140</v>
      </c>
    </row>
    <row r="7" spans="2:8" ht="12.75">
      <c r="B7" s="78"/>
      <c r="C7" s="78"/>
      <c r="D7" s="78" t="s">
        <v>163</v>
      </c>
      <c r="E7" s="78" t="s">
        <v>165</v>
      </c>
      <c r="F7" s="78" t="s">
        <v>167</v>
      </c>
      <c r="G7" s="78" t="s">
        <v>169</v>
      </c>
      <c r="H7" s="78" t="s">
        <v>169</v>
      </c>
    </row>
    <row r="8" spans="2:10" ht="13.5" thickBot="1">
      <c r="B8" s="79" t="s">
        <v>136</v>
      </c>
      <c r="C8" s="79" t="s">
        <v>137</v>
      </c>
      <c r="D8" s="79" t="s">
        <v>164</v>
      </c>
      <c r="E8" s="79" t="s">
        <v>166</v>
      </c>
      <c r="F8" s="79" t="s">
        <v>168</v>
      </c>
      <c r="G8" s="79" t="s">
        <v>170</v>
      </c>
      <c r="H8" s="79" t="s">
        <v>171</v>
      </c>
      <c r="J8" s="80" t="s">
        <v>68</v>
      </c>
    </row>
    <row r="9" spans="2:11" ht="12">
      <c r="B9" s="75" t="s">
        <v>188</v>
      </c>
      <c r="C9" s="75" t="s">
        <v>12</v>
      </c>
      <c r="D9" s="75">
        <v>8000.000000000003</v>
      </c>
      <c r="E9" s="75">
        <v>0</v>
      </c>
      <c r="F9" s="75">
        <v>18.5</v>
      </c>
      <c r="G9" s="75">
        <v>1.5000000000000004</v>
      </c>
      <c r="H9" s="75">
        <v>8.500000000000002</v>
      </c>
      <c r="I9">
        <f>+J9-H9</f>
        <v>9.999999999999998</v>
      </c>
      <c r="J9">
        <f>+F9</f>
        <v>18.5</v>
      </c>
      <c r="K9">
        <f>+J9+G9</f>
        <v>20</v>
      </c>
    </row>
    <row r="10" spans="2:10" ht="12.75" thickBot="1">
      <c r="B10" s="73" t="s">
        <v>189</v>
      </c>
      <c r="C10" s="73" t="s">
        <v>13</v>
      </c>
      <c r="D10" s="73">
        <v>13999.999999999996</v>
      </c>
      <c r="E10" s="73">
        <v>0</v>
      </c>
      <c r="F10" s="73">
        <v>20</v>
      </c>
      <c r="G10" s="73">
        <v>17.000000000000007</v>
      </c>
      <c r="H10" s="73">
        <v>1.5000000000000004</v>
      </c>
      <c r="J10" s="17" t="s">
        <v>74</v>
      </c>
    </row>
    <row r="11" spans="9:11" ht="12">
      <c r="I11">
        <f>+J11-H10</f>
        <v>18.5</v>
      </c>
      <c r="J11">
        <f>+F10</f>
        <v>20</v>
      </c>
      <c r="K11">
        <f>+J11+G10</f>
        <v>37.00000000000001</v>
      </c>
    </row>
    <row r="12" ht="12.75" thickBot="1">
      <c r="A12" t="s">
        <v>142</v>
      </c>
    </row>
    <row r="13" spans="2:8" ht="12.75">
      <c r="B13" s="78"/>
      <c r="C13" s="78"/>
      <c r="D13" s="78" t="s">
        <v>163</v>
      </c>
      <c r="E13" s="78" t="s">
        <v>172</v>
      </c>
      <c r="F13" s="78" t="s">
        <v>174</v>
      </c>
      <c r="G13" s="78" t="s">
        <v>169</v>
      </c>
      <c r="H13" s="78" t="s">
        <v>169</v>
      </c>
    </row>
    <row r="14" spans="2:8" ht="13.5" thickBot="1">
      <c r="B14" s="79" t="s">
        <v>136</v>
      </c>
      <c r="C14" s="79" t="s">
        <v>137</v>
      </c>
      <c r="D14" s="79" t="s">
        <v>164</v>
      </c>
      <c r="E14" s="79" t="s">
        <v>173</v>
      </c>
      <c r="F14" s="79" t="s">
        <v>175</v>
      </c>
      <c r="G14" s="79" t="s">
        <v>170</v>
      </c>
      <c r="H14" s="79" t="s">
        <v>171</v>
      </c>
    </row>
    <row r="15" spans="2:8" ht="12">
      <c r="B15" s="75" t="s">
        <v>190</v>
      </c>
      <c r="C15" s="75" t="s">
        <v>13</v>
      </c>
      <c r="D15" s="75">
        <v>1100</v>
      </c>
      <c r="E15" s="75">
        <v>340</v>
      </c>
      <c r="F15" s="75">
        <v>1100</v>
      </c>
      <c r="G15" s="75">
        <v>166.66666666666663</v>
      </c>
      <c r="H15" s="75">
        <v>200.0000000000001</v>
      </c>
    </row>
    <row r="16" spans="2:8" ht="12">
      <c r="B16" s="75" t="s">
        <v>192</v>
      </c>
      <c r="C16" s="75" t="s">
        <v>13</v>
      </c>
      <c r="D16" s="75">
        <v>1800</v>
      </c>
      <c r="E16" s="75">
        <v>30</v>
      </c>
      <c r="F16" s="75">
        <v>1800</v>
      </c>
      <c r="G16" s="75">
        <v>400.0000000000003</v>
      </c>
      <c r="H16" s="75">
        <v>500.00000000000017</v>
      </c>
    </row>
    <row r="17" spans="2:8" ht="12.75" thickBot="1">
      <c r="B17" s="73" t="s">
        <v>194</v>
      </c>
      <c r="C17" s="73" t="s">
        <v>13</v>
      </c>
      <c r="D17" s="73">
        <v>1500.0000000000002</v>
      </c>
      <c r="E17" s="73">
        <v>0</v>
      </c>
      <c r="F17" s="73">
        <v>2000</v>
      </c>
      <c r="G17" s="73">
        <v>1E+30</v>
      </c>
      <c r="H17" s="73">
        <v>499.9999999999998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A.R.S.A.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MICCIGER</dc:creator>
  <cp:keywords/>
  <dc:description/>
  <cp:lastModifiedBy>Romina Miccige</cp:lastModifiedBy>
  <dcterms:created xsi:type="dcterms:W3CDTF">2011-04-25T11:49:04Z</dcterms:created>
  <dcterms:modified xsi:type="dcterms:W3CDTF">2020-09-29T00:02:34Z</dcterms:modified>
  <cp:category/>
  <cp:version/>
  <cp:contentType/>
  <cp:contentStatus/>
</cp:coreProperties>
</file>