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D:\UTN - Inv. Operativa\Ejercicios\"/>
    </mc:Choice>
  </mc:AlternateContent>
  <xr:revisionPtr revIDLastSave="0" documentId="13_ncr:1_{02A21A79-45B8-4F01-AD60-DC2768EF31F1}" xr6:coauthVersionLast="46" xr6:coauthVersionMax="46" xr10:uidLastSave="{00000000-0000-0000-0000-000000000000}"/>
  <bookViews>
    <workbookView xWindow="-108" yWindow="-108" windowWidth="23256" windowHeight="12576" xr2:uid="{00000000-000D-0000-FFFF-FFFF00000000}"/>
  </bookViews>
  <sheets>
    <sheet name="CONSIGNA MULTIPLES CANALES" sheetId="3" r:id="rId1"/>
    <sheet name="MULTIPLES CANALES 2" sheetId="4" state="hidden" r:id="rId2"/>
    <sheet name="Resolución MC2" sheetId="5" state="hidden" r:id="rId3"/>
    <sheet name="CONSIGNA COLA FINITA" sheetId="1" r:id="rId4"/>
    <sheet name="RESOLUCIÓN" sheetId="2" r:id="rId5"/>
  </sheets>
  <definedNames>
    <definedName name="_xlnm._FilterDatabase" localSheetId="3" hidden="1">'CONSIGNA COLA FINITA'!$A$6:$F$6</definedName>
    <definedName name="solver_eng" localSheetId="3" hidden="1">1</definedName>
    <definedName name="solver_neg" localSheetId="3" hidden="1">1</definedName>
    <definedName name="solver_num" localSheetId="3" hidden="1">0</definedName>
    <definedName name="solver_opt" localSheetId="3" hidden="1">'CONSIGNA COLA FINITA'!$F$7</definedName>
    <definedName name="solver_typ" localSheetId="3" hidden="1">1</definedName>
    <definedName name="solver_val" localSheetId="3" hidden="1">0</definedName>
    <definedName name="solver_ver" localSheetId="3"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 i="2" l="1"/>
  <c r="I9" i="2"/>
  <c r="G14" i="3"/>
  <c r="E14" i="3"/>
  <c r="I11" i="2"/>
  <c r="C2" i="2"/>
  <c r="B7" i="2"/>
  <c r="C21" i="3"/>
  <c r="C22" i="3"/>
  <c r="B22" i="3"/>
  <c r="B23" i="3" s="1"/>
  <c r="D13" i="3"/>
  <c r="D16" i="3" s="1"/>
  <c r="D17" i="3" s="1"/>
  <c r="F13" i="3"/>
  <c r="F14" i="3" s="1"/>
  <c r="C13" i="3"/>
  <c r="E13" i="3" s="1"/>
  <c r="B13" i="3"/>
  <c r="C23" i="3" l="1"/>
  <c r="C25" i="3" s="1"/>
  <c r="C26" i="3" s="1"/>
  <c r="B25" i="3"/>
  <c r="B26" i="3" s="1"/>
  <c r="B24" i="3"/>
  <c r="C24" i="3"/>
  <c r="F16" i="3"/>
  <c r="F17" i="3" s="1"/>
  <c r="E16" i="3"/>
  <c r="E17" i="3" s="1"/>
  <c r="G13" i="3"/>
  <c r="G16" i="3" s="1"/>
  <c r="G17" i="3" s="1"/>
  <c r="D14" i="3"/>
  <c r="E10" i="5"/>
  <c r="E13" i="5" s="1"/>
  <c r="E12" i="5" s="1"/>
  <c r="B10" i="5"/>
  <c r="B11" i="5" s="1"/>
  <c r="B5" i="5"/>
  <c r="H5" i="5"/>
  <c r="H23" i="5" s="1"/>
  <c r="B13" i="5" l="1"/>
  <c r="F13" i="5"/>
  <c r="E11" i="5"/>
  <c r="I27" i="5"/>
  <c r="I26" i="5"/>
  <c r="I25" i="5"/>
  <c r="I24" i="5"/>
  <c r="H27" i="5"/>
  <c r="H26" i="5"/>
  <c r="H25" i="5"/>
  <c r="H24" i="5"/>
  <c r="H28" i="5"/>
  <c r="I5" i="5"/>
  <c r="I23" i="5" s="1"/>
  <c r="I28" i="5" s="1"/>
  <c r="A34" i="5"/>
  <c r="B34" i="5" s="1"/>
  <c r="B35" i="5" s="1"/>
  <c r="C35" i="5" s="1"/>
  <c r="E27" i="5"/>
  <c r="E26" i="5"/>
  <c r="E25" i="5"/>
  <c r="E5" i="5"/>
  <c r="E23" i="5" s="1"/>
  <c r="E28" i="5" s="1"/>
  <c r="B27" i="5"/>
  <c r="C27" i="5" s="1"/>
  <c r="B26" i="5"/>
  <c r="C26" i="5" s="1"/>
  <c r="B25" i="5"/>
  <c r="C25" i="5" s="1"/>
  <c r="B23" i="5"/>
  <c r="B28" i="5" s="1"/>
  <c r="C13" i="5" l="1"/>
  <c r="B12" i="5"/>
  <c r="B24" i="5"/>
  <c r="E24" i="5"/>
  <c r="E30" i="5"/>
  <c r="H2" i="2"/>
  <c r="C12" i="3" l="1"/>
  <c r="C14" i="3" s="1"/>
  <c r="C15" i="3" s="1"/>
  <c r="B14" i="3"/>
  <c r="G2" i="2"/>
  <c r="I2" i="2" s="1"/>
  <c r="C7" i="2"/>
  <c r="C27" i="2"/>
  <c r="B4" i="2"/>
  <c r="C4" i="2" s="1"/>
  <c r="D4" i="2" s="1"/>
  <c r="E4" i="2" s="1"/>
  <c r="B6" i="2"/>
  <c r="C6" i="2" s="1"/>
  <c r="B8" i="2"/>
  <c r="C8" i="2" s="1"/>
  <c r="B9" i="2"/>
  <c r="C9" i="2" s="1"/>
  <c r="B10" i="2"/>
  <c r="C10" i="2" s="1"/>
  <c r="B11" i="2"/>
  <c r="C11" i="2" s="1"/>
  <c r="B12" i="2"/>
  <c r="C12" i="2" s="1"/>
  <c r="B13" i="2"/>
  <c r="C13" i="2" s="1"/>
  <c r="B14" i="2"/>
  <c r="C14" i="2" s="1"/>
  <c r="B15" i="2"/>
  <c r="C15" i="2" s="1"/>
  <c r="B16" i="2"/>
  <c r="C16" i="2" s="1"/>
  <c r="B17" i="2"/>
  <c r="C17" i="2" s="1"/>
  <c r="B18" i="2"/>
  <c r="C18" i="2" s="1"/>
  <c r="B19" i="2"/>
  <c r="C19" i="2" s="1"/>
  <c r="B20" i="2"/>
  <c r="C20" i="2" s="1"/>
  <c r="B21" i="2"/>
  <c r="C21" i="2" s="1"/>
  <c r="B22" i="2"/>
  <c r="C22" i="2" s="1"/>
  <c r="B23" i="2"/>
  <c r="C23" i="2" s="1"/>
  <c r="B24" i="2"/>
  <c r="C24" i="2" s="1"/>
  <c r="B25" i="2"/>
  <c r="C25" i="2" s="1"/>
  <c r="B26" i="2"/>
  <c r="C26" i="2" s="1"/>
  <c r="B27" i="2"/>
  <c r="B28" i="2"/>
  <c r="C28" i="2" s="1"/>
  <c r="B29" i="2"/>
  <c r="C29" i="2" s="1"/>
  <c r="B5" i="2"/>
  <c r="C5" i="2" s="1"/>
  <c r="D5" i="2" s="1"/>
  <c r="E5" i="2" s="1"/>
  <c r="B15" i="3" l="1"/>
  <c r="B16" i="3"/>
  <c r="B17" i="3" s="1"/>
  <c r="D28" i="2"/>
  <c r="E28" i="2" s="1"/>
  <c r="D24" i="2"/>
  <c r="D20" i="2"/>
  <c r="E20" i="2" s="1"/>
  <c r="D16" i="2"/>
  <c r="E16" i="2" s="1"/>
  <c r="D12" i="2"/>
  <c r="E12" i="2" s="1"/>
  <c r="D8" i="2"/>
  <c r="E8" i="2" s="1"/>
  <c r="D27" i="2"/>
  <c r="E27" i="2" s="1"/>
  <c r="D23" i="2"/>
  <c r="E23" i="2" s="1"/>
  <c r="D19" i="2"/>
  <c r="E19" i="2" s="1"/>
  <c r="D15" i="2"/>
  <c r="E15" i="2" s="1"/>
  <c r="D11" i="2"/>
  <c r="E11" i="2" s="1"/>
  <c r="D7" i="2"/>
  <c r="E7" i="2" s="1"/>
  <c r="D26" i="2"/>
  <c r="E26" i="2" s="1"/>
  <c r="D22" i="2"/>
  <c r="E22" i="2" s="1"/>
  <c r="D18" i="2"/>
  <c r="E18" i="2" s="1"/>
  <c r="D14" i="2"/>
  <c r="E14" i="2" s="1"/>
  <c r="D10" i="2"/>
  <c r="E10" i="2" s="1"/>
  <c r="D6" i="2"/>
  <c r="E6" i="2" s="1"/>
  <c r="D29" i="2"/>
  <c r="E29" i="2" s="1"/>
  <c r="D25" i="2"/>
  <c r="E25" i="2" s="1"/>
  <c r="D21" i="2"/>
  <c r="E21" i="2" s="1"/>
  <c r="D17" i="2"/>
  <c r="E17" i="2" s="1"/>
  <c r="D13" i="2"/>
  <c r="E13" i="2" s="1"/>
  <c r="D9" i="2"/>
  <c r="E9" i="2" s="1"/>
  <c r="C16" i="3"/>
  <c r="C17" i="3" s="1"/>
  <c r="E24" i="2"/>
  <c r="E2" i="2" l="1"/>
  <c r="I7" i="2" s="1"/>
  <c r="I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Patterlini, Matias (565)</author>
  </authors>
  <commentList>
    <comment ref="E15" authorId="0" shapeId="0" xr:uid="{00000000-0006-0000-0000-000001000000}">
      <text>
        <r>
          <rPr>
            <b/>
            <sz val="9"/>
            <color indexed="81"/>
            <rFont val="Tahoma"/>
            <family val="2"/>
          </rPr>
          <t>Patterlini, Matias (565):</t>
        </r>
        <r>
          <rPr>
            <sz val="9"/>
            <color indexed="81"/>
            <rFont val="Tahoma"/>
            <family val="2"/>
          </rPr>
          <t xml:space="preserve">
de tabla</t>
        </r>
      </text>
    </comment>
    <comment ref="G15" authorId="0" shapeId="0" xr:uid="{00000000-0006-0000-0000-000002000000}">
      <text>
        <r>
          <rPr>
            <b/>
            <sz val="9"/>
            <color indexed="81"/>
            <rFont val="Tahoma"/>
            <family val="2"/>
          </rPr>
          <t>Patterlini, Matias (565):</t>
        </r>
        <r>
          <rPr>
            <sz val="9"/>
            <color indexed="81"/>
            <rFont val="Tahoma"/>
            <family val="2"/>
          </rPr>
          <t xml:space="preserve">
de tabla</t>
        </r>
      </text>
    </comment>
  </commentList>
</comments>
</file>

<file path=xl/sharedStrings.xml><?xml version="1.0" encoding="utf-8"?>
<sst xmlns="http://schemas.openxmlformats.org/spreadsheetml/2006/main" count="208" uniqueCount="133">
  <si>
    <r>
      <t>EJERCICIO COLA FINITA:
Se encuentra trabajando para el departamento de mantenimiento de una empresa de ensamble de vehículos. Le piden que haga una evaluación de el servicio que el sector le está dando al resto de las áreas productivas, quienes continuamente argumentan que hay pérdidas de producción por interrupciones por mantenimiento. Para ello realizó un relevamiento de las máquinas principales y críticas del proceso y calculó la tasa de fallo de cada una. Midió el tiempo promedio de reparación de su personal (solo cuenta con un equipo multidisciplinario, que actúa conjuntamente por vez) y dio que se tardaba en promedio</t>
    </r>
    <r>
      <rPr>
        <b/>
        <sz val="11"/>
        <color theme="1"/>
        <rFont val="Calibri"/>
        <family val="2"/>
        <scheme val="minor"/>
      </rPr>
      <t xml:space="preserve"> 2 horas</t>
    </r>
    <r>
      <rPr>
        <sz val="11"/>
        <color theme="1"/>
        <rFont val="Calibri"/>
        <family val="2"/>
        <scheme val="minor"/>
      </rPr>
      <t xml:space="preserve"> en reparar cualquier instalación/máquina.
Evalue el desempeño calculando:
1) Número promedio de máquinas en espera a ser reparado.
2) Tiempo promedio que pasan esperando a ser reparadas.
3) Probabilidad de que una máquina tenga que esperar a que la atiendan.
¿Que conclusiones extrae? ¿Sugeriría contratar personal adicional para aumentar el nivel de servicio?</t>
    </r>
  </si>
  <si>
    <t xml:space="preserve"> Codigo del Equipo</t>
  </si>
  <si>
    <t>Denominacion Equipo</t>
  </si>
  <si>
    <t>Ubicación (s/Proceso)</t>
  </si>
  <si>
    <t>PROCESO</t>
  </si>
  <si>
    <t>FUNCIÓN</t>
  </si>
  <si>
    <t>Horas entre fallos</t>
  </si>
  <si>
    <t>APA083_A</t>
  </si>
  <si>
    <t xml:space="preserve">Aparejo elec.c/carro traslac. </t>
  </si>
  <si>
    <t>Estación 4</t>
  </si>
  <si>
    <t>Volteo de unidades</t>
  </si>
  <si>
    <t>APA083_B</t>
  </si>
  <si>
    <t>APA100</t>
  </si>
  <si>
    <t xml:space="preserve">MONTACARGA-ELEVADOR DE CARROS </t>
  </si>
  <si>
    <t>Estación 9</t>
  </si>
  <si>
    <t>Traslado de unidades por línea</t>
  </si>
  <si>
    <t>Elevación de carros de línea</t>
  </si>
  <si>
    <t>APA 120</t>
  </si>
  <si>
    <t>APAREJO ELECTRICO</t>
  </si>
  <si>
    <t>Premontaje de Motores</t>
  </si>
  <si>
    <t>Montaje de cj motor y caja</t>
  </si>
  <si>
    <t>Subida de motores y cajas a línea de prem</t>
  </si>
  <si>
    <t>EQLL001</t>
  </si>
  <si>
    <t>EQUIPO DE LLENADO DE FLUIDOS</t>
  </si>
  <si>
    <t>Estación 8</t>
  </si>
  <si>
    <t>Llenado de fluidos</t>
  </si>
  <si>
    <t>Llenado de líquido de embrague, refrigerante y</t>
  </si>
  <si>
    <t>APA 118</t>
  </si>
  <si>
    <t>Estación 5</t>
  </si>
  <si>
    <t>Montaje de Motor</t>
  </si>
  <si>
    <t>Izaje y manipulación de cj motor y caja</t>
  </si>
  <si>
    <t>APA816</t>
  </si>
  <si>
    <t>APAREJO POLIPASTO</t>
  </si>
  <si>
    <t>Estación 7</t>
  </si>
  <si>
    <t>Montaje de Podest</t>
  </si>
  <si>
    <t>Izaje y manipulación de conjunto podest</t>
  </si>
  <si>
    <t>APA102</t>
  </si>
  <si>
    <t>MONTACARGA GRANDE</t>
  </si>
  <si>
    <t>Portón 17</t>
  </si>
  <si>
    <t>Abastecimiento de piezas</t>
  </si>
  <si>
    <t>Elevador de bunker y cajones logística</t>
  </si>
  <si>
    <t>GAN201</t>
  </si>
  <si>
    <t>Gancho de aparejo 090B</t>
  </si>
  <si>
    <t>Montaje de Ruedas</t>
  </si>
  <si>
    <t>Izaje ruedas</t>
  </si>
  <si>
    <t>GAN202</t>
  </si>
  <si>
    <t>Manipulación Atornilladora Multihusillo</t>
  </si>
  <si>
    <t>GAN207</t>
  </si>
  <si>
    <t>Dispositivo izaje de motores</t>
  </si>
  <si>
    <t>Premontaje de motores</t>
  </si>
  <si>
    <t>GAN203</t>
  </si>
  <si>
    <t>Dispositivo de aparejo 117</t>
  </si>
  <si>
    <t>Montaje de Cabinas</t>
  </si>
  <si>
    <t>Izaje y manipulación de capot y paragolpe</t>
  </si>
  <si>
    <t>APA080</t>
  </si>
  <si>
    <t>Estación 1</t>
  </si>
  <si>
    <t>Montaje de piezas</t>
  </si>
  <si>
    <t>Izaje y manip de piezas (cardanes/soporte de tanques, etc)</t>
  </si>
  <si>
    <t>APA065</t>
  </si>
  <si>
    <t>PUENTE GRUA INICIO DE LINEA</t>
  </si>
  <si>
    <t>Subida de línea de bastidores</t>
  </si>
  <si>
    <t>Manipulación y movimiento de bastidores atornillados</t>
  </si>
  <si>
    <t>APA081</t>
  </si>
  <si>
    <t>Estación 2</t>
  </si>
  <si>
    <t>Izaje y manip de elásticos y otras piezas</t>
  </si>
  <si>
    <t>APA 121</t>
  </si>
  <si>
    <t>Izaje y manipulación de piezas (elásticos)</t>
  </si>
  <si>
    <t>APA082</t>
  </si>
  <si>
    <t>Estación 3</t>
  </si>
  <si>
    <t>Montaje de ejes</t>
  </si>
  <si>
    <t>Izaje y manipulación de ejes y otras piezas</t>
  </si>
  <si>
    <t>APA101</t>
  </si>
  <si>
    <t>MONTACARGA CHICO</t>
  </si>
  <si>
    <t>Elevador carros/bunker logística</t>
  </si>
  <si>
    <t>APA089</t>
  </si>
  <si>
    <t>Estación 6</t>
  </si>
  <si>
    <t>Izaje y manipulación de piezas</t>
  </si>
  <si>
    <t>APA088</t>
  </si>
  <si>
    <t>AUT249</t>
  </si>
  <si>
    <t>COMBILIFT</t>
  </si>
  <si>
    <t>Atornillado de bastidores</t>
  </si>
  <si>
    <t>Ingreso de largueros</t>
  </si>
  <si>
    <t>Disposición y separación de largueros para ingreso</t>
  </si>
  <si>
    <t>APA 117</t>
  </si>
  <si>
    <t>APA086</t>
  </si>
  <si>
    <t>Aparejo electrico</t>
  </si>
  <si>
    <t>APA090_A</t>
  </si>
  <si>
    <t>APA090_B</t>
  </si>
  <si>
    <t>N</t>
  </si>
  <si>
    <t>N-n</t>
  </si>
  <si>
    <t>n</t>
  </si>
  <si>
    <t>P0</t>
  </si>
  <si>
    <t>1)</t>
  </si>
  <si>
    <t>mu</t>
  </si>
  <si>
    <t>lambda</t>
  </si>
  <si>
    <t>2)</t>
  </si>
  <si>
    <t>L</t>
  </si>
  <si>
    <t>3)</t>
  </si>
  <si>
    <t>Mu</t>
  </si>
  <si>
    <t>Estable</t>
  </si>
  <si>
    <t>Pico</t>
  </si>
  <si>
    <t>ro</t>
  </si>
  <si>
    <t>Lc</t>
  </si>
  <si>
    <t>Wc</t>
  </si>
  <si>
    <t>EJERCICIO MULTIPLES SERVIDORES 2
Dos compañias de taxis prestan servicio a una comunidad. Cada compañía posee dos taxis, y ambas comparten el mercado por igual; las llamadas llegan a la oficina de despachos de cada compañía a una tasa promedio de 8 por hora. El tiempo promedio por viaje es de 12 minutos. Las llamadas llegan de acuerdo con una distribución de Poisson y el tiempo de viaje es exponencial. Las dos compañias fueron adquiridas por un inversionista y se consolidarán en una sola oficina de despachos. Analice la propuesta del nuevo propietario.</t>
  </si>
  <si>
    <t xml:space="preserve">Escenario </t>
  </si>
  <si>
    <t>Lambda</t>
  </si>
  <si>
    <t>k</t>
  </si>
  <si>
    <t>a)</t>
  </si>
  <si>
    <t>b)</t>
  </si>
  <si>
    <t>c)</t>
  </si>
  <si>
    <t>minutos</t>
  </si>
  <si>
    <t>d)</t>
  </si>
  <si>
    <t>e)</t>
  </si>
  <si>
    <t>Escenario</t>
  </si>
  <si>
    <t>f)</t>
  </si>
  <si>
    <t>Cw</t>
  </si>
  <si>
    <t>Cs</t>
  </si>
  <si>
    <t>$/hora</t>
  </si>
  <si>
    <t>diferencia</t>
  </si>
  <si>
    <t>W</t>
  </si>
  <si>
    <t>Ts</t>
  </si>
  <si>
    <t>Ta</t>
  </si>
  <si>
    <t>TC</t>
  </si>
  <si>
    <t>/hora</t>
  </si>
  <si>
    <t>"TAXis"</t>
  </si>
  <si>
    <t>p0</t>
  </si>
  <si>
    <t>Cobro imp</t>
  </si>
  <si>
    <t>1+1</t>
  </si>
  <si>
    <r>
      <t xml:space="preserve">Uds se encuentra gerenciando un </t>
    </r>
    <r>
      <rPr>
        <b/>
        <sz val="11"/>
        <color theme="1"/>
        <rFont val="Calibri"/>
        <family val="2"/>
        <scheme val="minor"/>
      </rPr>
      <t>local de cobro de impuestos</t>
    </r>
    <r>
      <rPr>
        <sz val="11"/>
        <color theme="1"/>
        <rFont val="Calibri"/>
        <family val="2"/>
        <scheme val="minor"/>
      </rPr>
      <t xml:space="preserve"> y desea relevar el </t>
    </r>
    <r>
      <rPr>
        <b/>
        <sz val="11"/>
        <color theme="1"/>
        <rFont val="Calibri"/>
        <family val="2"/>
        <scheme val="minor"/>
      </rPr>
      <t>desempeño de sus servicios</t>
    </r>
    <r>
      <rPr>
        <sz val="11"/>
        <color theme="1"/>
        <rFont val="Calibri"/>
        <family val="2"/>
        <scheme val="minor"/>
      </rPr>
      <t xml:space="preserve"> a fin de plantear posibles mejoras ya que evidencio una merma en las facturaciones en el último mes. Además también </t>
    </r>
    <r>
      <rPr>
        <b/>
        <sz val="11"/>
        <color theme="1"/>
        <rFont val="Calibri"/>
        <family val="2"/>
        <scheme val="minor"/>
      </rPr>
      <t>vende otros artículos/servicios en el mismo loca</t>
    </r>
    <r>
      <rPr>
        <sz val="11"/>
        <color theme="1"/>
        <rFont val="Calibri"/>
        <family val="2"/>
        <scheme val="minor"/>
      </rPr>
      <t xml:space="preserve">l. Ud cuenta con 3 empleados en total. Las características de su sistema actual son:
Posee 1 sola ventanilla de cobro de impuestos con un promedio de despacho de </t>
    </r>
    <r>
      <rPr>
        <b/>
        <sz val="11"/>
        <color theme="1"/>
        <rFont val="Calibri"/>
        <family val="2"/>
        <scheme val="minor"/>
      </rPr>
      <t>5 minutos por cliente</t>
    </r>
    <r>
      <rPr>
        <sz val="11"/>
        <color theme="1"/>
        <rFont val="Calibri"/>
        <family val="2"/>
        <scheme val="minor"/>
      </rPr>
      <t xml:space="preserve">.
Tiene 2 personas atendiendo durante toda la jornada laboral el kiosko.
Apróximadamente recibe </t>
    </r>
    <r>
      <rPr>
        <b/>
        <sz val="11"/>
        <color theme="1"/>
        <rFont val="Calibri"/>
        <family val="2"/>
        <scheme val="minor"/>
      </rPr>
      <t>10 clientes por hora para pagos y 15 en días de vencimiento.</t>
    </r>
    <r>
      <rPr>
        <sz val="11"/>
        <color theme="1"/>
        <rFont val="Calibri"/>
        <family val="2"/>
        <scheme val="minor"/>
      </rPr>
      <t xml:space="preserve">
Analice el desempeño del sistema en ambas situaciones. Que información le parece interesante conocer para dimensionar:
</t>
    </r>
    <r>
      <rPr>
        <b/>
        <sz val="11"/>
        <color theme="1"/>
        <rFont val="Calibri"/>
        <family val="2"/>
        <scheme val="minor"/>
      </rPr>
      <t>Distribución del trabajo de la gente, distribución de las instalaciones/espacio, etc.</t>
    </r>
    <r>
      <rPr>
        <sz val="11"/>
        <color theme="1"/>
        <rFont val="Calibri"/>
        <family val="2"/>
        <scheme val="minor"/>
      </rPr>
      <t xml:space="preserve">
</t>
    </r>
  </si>
  <si>
    <t>Lq</t>
  </si>
  <si>
    <t>Wq</t>
  </si>
  <si>
    <t>1-P(0)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</si>
</sst>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0" fillId="0" borderId="1" xfId="0" applyFont="1" applyBorder="1"/>
    <xf numFmtId="164" fontId="0" fillId="0" borderId="0" xfId="0" applyNumberFormat="1"/>
    <xf numFmtId="0" fontId="0" fillId="0" borderId="1" xfId="0" applyFont="1" applyFill="1" applyBorder="1"/>
    <xf numFmtId="2" fontId="0" fillId="0" borderId="1" xfId="0" applyNumberFormat="1" applyFont="1" applyBorder="1"/>
    <xf numFmtId="2" fontId="0" fillId="0" borderId="0" xfId="0" applyNumberForma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2" xfId="0" applyFont="1" applyBorder="1"/>
    <xf numFmtId="165" fontId="3" fillId="0" borderId="3" xfId="1" applyNumberFormat="1" applyFont="1" applyBorder="1"/>
    <xf numFmtId="0" fontId="3" fillId="0" borderId="0" xfId="0" applyFont="1"/>
    <xf numFmtId="0" fontId="3" fillId="0" borderId="3" xfId="0" applyFont="1" applyBorder="1"/>
    <xf numFmtId="0" fontId="3" fillId="0" borderId="6" xfId="0" applyFont="1" applyBorder="1"/>
    <xf numFmtId="0" fontId="3" fillId="0" borderId="7" xfId="0" applyFont="1" applyBorder="1"/>
    <xf numFmtId="0" fontId="0" fillId="0" borderId="9" xfId="0" applyBorder="1"/>
    <xf numFmtId="0" fontId="0" fillId="2" borderId="7" xfId="0" applyFill="1" applyBorder="1"/>
    <xf numFmtId="0" fontId="2" fillId="0" borderId="7" xfId="0" applyFont="1" applyBorder="1"/>
    <xf numFmtId="0" fontId="0" fillId="0" borderId="7" xfId="0" applyFill="1" applyBorder="1"/>
    <xf numFmtId="2" fontId="0" fillId="0" borderId="6" xfId="0" applyNumberFormat="1" applyBorder="1"/>
    <xf numFmtId="2" fontId="0" fillId="0" borderId="8" xfId="0" applyNumberFormat="1" applyBorder="1"/>
    <xf numFmtId="2" fontId="2" fillId="0" borderId="7" xfId="0" applyNumberFormat="1" applyFont="1" applyBorder="1"/>
    <xf numFmtId="2" fontId="2" fillId="0" borderId="9" xfId="0" applyNumberFormat="1" applyFont="1" applyBorder="1"/>
    <xf numFmtId="166" fontId="0" fillId="0" borderId="8" xfId="0" applyNumberFormat="1" applyBorder="1"/>
    <xf numFmtId="0" fontId="0" fillId="0" borderId="0" xfId="0" applyAlignment="1">
      <alignment horizontal="left"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167640</xdr:colOff>
      <xdr:row>5</xdr:row>
      <xdr:rowOff>24130</xdr:rowOff>
    </xdr:from>
    <xdr:to>
      <xdr:col>16</xdr:col>
      <xdr:colOff>288624</xdr:colOff>
      <xdr:row>10</xdr:row>
      <xdr:rowOff>126869</xdr:rowOff>
    </xdr:to>
    <xdr:pic>
      <xdr:nvPicPr>
        <xdr:cNvPr id="2" name="Imagen 1">
          <a:extLst>
            <a:ext uri="{FF2B5EF4-FFF2-40B4-BE49-F238E27FC236}">
              <a16:creationId xmlns:a16="http://schemas.microsoft.com/office/drawing/2014/main" id="{83C1BAA9-BE5E-4897-A0BA-6617AA7F6F4B}"/>
            </a:ext>
          </a:extLst>
        </xdr:cNvPr>
        <xdr:cNvPicPr>
          <a:picLocks noChangeAspect="1"/>
        </xdr:cNvPicPr>
      </xdr:nvPicPr>
      <xdr:blipFill>
        <a:blip xmlns:r="http://schemas.openxmlformats.org/officeDocument/2006/relationships" r:embed="rId1"/>
        <a:stretch>
          <a:fillRect/>
        </a:stretch>
      </xdr:blipFill>
      <xdr:spPr>
        <a:xfrm>
          <a:off x="10439400" y="938530"/>
          <a:ext cx="2406984" cy="1055239"/>
        </a:xfrm>
        <a:prstGeom prst="rect">
          <a:avLst/>
        </a:prstGeom>
      </xdr:spPr>
    </xdr:pic>
    <xdr:clientData/>
  </xdr:twoCellAnchor>
  <xdr:twoCellAnchor editAs="oneCell">
    <xdr:from>
      <xdr:col>13</xdr:col>
      <xdr:colOff>152400</xdr:colOff>
      <xdr:row>12</xdr:row>
      <xdr:rowOff>29210</xdr:rowOff>
    </xdr:from>
    <xdr:to>
      <xdr:col>16</xdr:col>
      <xdr:colOff>327987</xdr:colOff>
      <xdr:row>16</xdr:row>
      <xdr:rowOff>71659</xdr:rowOff>
    </xdr:to>
    <xdr:pic>
      <xdr:nvPicPr>
        <xdr:cNvPr id="3" name="Imagen 2">
          <a:extLst>
            <a:ext uri="{FF2B5EF4-FFF2-40B4-BE49-F238E27FC236}">
              <a16:creationId xmlns:a16="http://schemas.microsoft.com/office/drawing/2014/main" id="{0FABE720-78C1-4D69-82A1-B550531FC697}"/>
            </a:ext>
          </a:extLst>
        </xdr:cNvPr>
        <xdr:cNvPicPr>
          <a:picLocks noChangeAspect="1"/>
        </xdr:cNvPicPr>
      </xdr:nvPicPr>
      <xdr:blipFill>
        <a:blip xmlns:r="http://schemas.openxmlformats.org/officeDocument/2006/relationships" r:embed="rId2"/>
        <a:stretch>
          <a:fillRect/>
        </a:stretch>
      </xdr:blipFill>
      <xdr:spPr>
        <a:xfrm>
          <a:off x="10424160" y="2269490"/>
          <a:ext cx="2461587" cy="77396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
  <sheetViews>
    <sheetView tabSelected="1" workbookViewId="0">
      <selection activeCell="A16" sqref="A16"/>
    </sheetView>
  </sheetViews>
  <sheetFormatPr baseColWidth="10" defaultRowHeight="14.5" x14ac:dyDescent="0.35"/>
  <cols>
    <col min="4" max="5" width="11.81640625" customWidth="1"/>
    <col min="6" max="8" width="11.1796875" customWidth="1"/>
    <col min="9" max="11" width="11.36328125" customWidth="1"/>
  </cols>
  <sheetData>
    <row r="1" spans="1:11" x14ac:dyDescent="0.35">
      <c r="A1" s="26" t="s">
        <v>129</v>
      </c>
      <c r="B1" s="26"/>
      <c r="C1" s="26"/>
      <c r="D1" s="26"/>
      <c r="E1" s="26"/>
      <c r="F1" s="26"/>
      <c r="G1" s="26"/>
      <c r="H1" s="26"/>
      <c r="I1" s="26"/>
      <c r="J1" s="26"/>
      <c r="K1" s="26"/>
    </row>
    <row r="2" spans="1:11" x14ac:dyDescent="0.35">
      <c r="A2" s="26"/>
      <c r="B2" s="26"/>
      <c r="C2" s="26"/>
      <c r="D2" s="26"/>
      <c r="E2" s="26"/>
      <c r="F2" s="26"/>
      <c r="G2" s="26"/>
      <c r="H2" s="26"/>
      <c r="I2" s="26"/>
      <c r="J2" s="26"/>
      <c r="K2" s="26"/>
    </row>
    <row r="3" spans="1:11" x14ac:dyDescent="0.35">
      <c r="A3" s="26"/>
      <c r="B3" s="26"/>
      <c r="C3" s="26"/>
      <c r="D3" s="26"/>
      <c r="E3" s="26"/>
      <c r="F3" s="26"/>
      <c r="G3" s="26"/>
      <c r="H3" s="26"/>
      <c r="I3" s="26"/>
      <c r="J3" s="26"/>
      <c r="K3" s="26"/>
    </row>
    <row r="4" spans="1:11" x14ac:dyDescent="0.35">
      <c r="A4" s="26"/>
      <c r="B4" s="26"/>
      <c r="C4" s="26"/>
      <c r="D4" s="26"/>
      <c r="E4" s="26"/>
      <c r="F4" s="26"/>
      <c r="G4" s="26"/>
      <c r="H4" s="26"/>
      <c r="I4" s="26"/>
      <c r="J4" s="26"/>
      <c r="K4" s="26"/>
    </row>
    <row r="5" spans="1:11" x14ac:dyDescent="0.35">
      <c r="A5" s="26"/>
      <c r="B5" s="26"/>
      <c r="C5" s="26"/>
      <c r="D5" s="26"/>
      <c r="E5" s="26"/>
      <c r="F5" s="26"/>
      <c r="G5" s="26"/>
      <c r="H5" s="26"/>
      <c r="I5" s="26"/>
      <c r="J5" s="26"/>
      <c r="K5" s="26"/>
    </row>
    <row r="6" spans="1:11" x14ac:dyDescent="0.35">
      <c r="A6" s="26"/>
      <c r="B6" s="26"/>
      <c r="C6" s="26"/>
      <c r="D6" s="26"/>
      <c r="E6" s="26"/>
      <c r="F6" s="26"/>
      <c r="G6" s="26"/>
      <c r="H6" s="26"/>
      <c r="I6" s="26"/>
      <c r="J6" s="26"/>
      <c r="K6" s="26"/>
    </row>
    <row r="7" spans="1:11" x14ac:dyDescent="0.35">
      <c r="A7" s="26"/>
      <c r="B7" s="26"/>
      <c r="C7" s="26"/>
      <c r="D7" s="26"/>
      <c r="E7" s="26"/>
      <c r="F7" s="26"/>
      <c r="G7" s="26"/>
      <c r="H7" s="26"/>
      <c r="I7" s="26"/>
      <c r="J7" s="26"/>
      <c r="K7" s="26"/>
    </row>
    <row r="8" spans="1:11" x14ac:dyDescent="0.35">
      <c r="A8" s="26"/>
      <c r="B8" s="26"/>
      <c r="C8" s="26"/>
      <c r="D8" s="26"/>
      <c r="E8" s="26"/>
      <c r="F8" s="26"/>
      <c r="G8" s="26"/>
      <c r="H8" s="26"/>
      <c r="I8" s="26"/>
      <c r="J8" s="26"/>
      <c r="K8" s="26"/>
    </row>
    <row r="9" spans="1:11" ht="8.4" customHeight="1" thickBot="1" x14ac:dyDescent="0.4"/>
    <row r="10" spans="1:11" x14ac:dyDescent="0.35">
      <c r="A10" s="6"/>
      <c r="B10" s="6" t="s">
        <v>127</v>
      </c>
      <c r="C10" s="7">
        <v>1</v>
      </c>
      <c r="D10" s="6" t="s">
        <v>127</v>
      </c>
      <c r="E10" s="7">
        <v>2</v>
      </c>
      <c r="F10" s="6" t="s">
        <v>127</v>
      </c>
      <c r="G10" s="7">
        <v>3</v>
      </c>
    </row>
    <row r="11" spans="1:11" x14ac:dyDescent="0.35">
      <c r="A11" s="8"/>
      <c r="B11" s="8" t="s">
        <v>99</v>
      </c>
      <c r="C11" s="9" t="s">
        <v>100</v>
      </c>
      <c r="D11" s="8" t="s">
        <v>99</v>
      </c>
      <c r="E11" s="9" t="s">
        <v>100</v>
      </c>
      <c r="F11" s="8" t="s">
        <v>99</v>
      </c>
      <c r="G11" s="9" t="s">
        <v>100</v>
      </c>
    </row>
    <row r="12" spans="1:11" x14ac:dyDescent="0.35">
      <c r="A12" s="8" t="s">
        <v>98</v>
      </c>
      <c r="B12" s="8">
        <v>0.2</v>
      </c>
      <c r="C12" s="9">
        <f>1/5</f>
        <v>0.2</v>
      </c>
      <c r="D12" s="8">
        <v>0.2</v>
      </c>
      <c r="E12" s="9">
        <v>0.2</v>
      </c>
      <c r="F12" s="8">
        <v>0.2</v>
      </c>
      <c r="G12" s="9">
        <v>0.2</v>
      </c>
    </row>
    <row r="13" spans="1:11" x14ac:dyDescent="0.35">
      <c r="A13" s="8" t="s">
        <v>94</v>
      </c>
      <c r="B13" s="21">
        <f>10/60</f>
        <v>0.16666666666666666</v>
      </c>
      <c r="C13" s="9">
        <f>15/60</f>
        <v>0.25</v>
      </c>
      <c r="D13" s="21">
        <f>10/60</f>
        <v>0.16666666666666666</v>
      </c>
      <c r="E13" s="9">
        <f>+C13</f>
        <v>0.25</v>
      </c>
      <c r="F13" s="21">
        <f>10/60</f>
        <v>0.16666666666666666</v>
      </c>
      <c r="G13" s="9">
        <f>+E13</f>
        <v>0.25</v>
      </c>
    </row>
    <row r="14" spans="1:11" x14ac:dyDescent="0.35">
      <c r="A14" s="8" t="s">
        <v>101</v>
      </c>
      <c r="B14" s="21">
        <f t="shared" ref="B14:G14" si="0">+B13/B12</f>
        <v>0.83333333333333326</v>
      </c>
      <c r="C14" s="18">
        <f t="shared" si="0"/>
        <v>1.25</v>
      </c>
      <c r="D14" s="21">
        <f t="shared" si="0"/>
        <v>0.83333333333333326</v>
      </c>
      <c r="E14" s="20">
        <f>+E13/(E10*E12)</f>
        <v>0.625</v>
      </c>
      <c r="F14" s="21">
        <f t="shared" si="0"/>
        <v>0.83333333333333326</v>
      </c>
      <c r="G14" s="20">
        <f>+G13/(G10*G12)</f>
        <v>0.41666666666666663</v>
      </c>
    </row>
    <row r="15" spans="1:11" x14ac:dyDescent="0.35">
      <c r="A15" s="8" t="s">
        <v>91</v>
      </c>
      <c r="B15" s="21">
        <f>1-B14</f>
        <v>0.16666666666666674</v>
      </c>
      <c r="C15" s="9">
        <f>1-C14</f>
        <v>-0.25</v>
      </c>
      <c r="D15" s="21">
        <v>0.42859999999999998</v>
      </c>
      <c r="E15" s="19">
        <v>0.25</v>
      </c>
      <c r="F15" s="8">
        <v>0.44</v>
      </c>
      <c r="G15" s="19">
        <v>0.28999999999999998</v>
      </c>
    </row>
    <row r="16" spans="1:11" x14ac:dyDescent="0.35">
      <c r="A16" s="8" t="s">
        <v>102</v>
      </c>
      <c r="B16" s="21">
        <f>+B14^2/(1-B14)</f>
        <v>4.1666666666666643</v>
      </c>
      <c r="C16" s="9">
        <f>+C14^2/(1-C14)</f>
        <v>-6.25</v>
      </c>
      <c r="D16" s="21">
        <f>((D13/D12)^E10*D13*D12)/(FACT(E10-1)*(E10*D12-D13)^2)*D15</f>
        <v>0.18222789115646246</v>
      </c>
      <c r="E16" s="23">
        <f>((E13/E12)^E10*E13*E12)/(FACT(E10-1)*(E10*E12-E13)^2)*E15</f>
        <v>0.86805555555555536</v>
      </c>
      <c r="F16" s="21">
        <f>((F13/F12)^G10*F13*F12)/(FACT(G10-1)*(G10*F12-F13)^2)*F15</f>
        <v>2.2600262984878348E-2</v>
      </c>
      <c r="G16" s="23">
        <f>((G13/G12)^G10*G13*G12)/(FACT(G10-1)*(G10*G12-G13)^2)*G15</f>
        <v>0.11559311224489789</v>
      </c>
    </row>
    <row r="17" spans="1:7" ht="15" thickBot="1" x14ac:dyDescent="0.4">
      <c r="A17" s="10" t="s">
        <v>103</v>
      </c>
      <c r="B17" s="10">
        <f t="shared" ref="B17:G17" si="1">+B16/B13</f>
        <v>24.999999999999986</v>
      </c>
      <c r="C17" s="17">
        <f t="shared" si="1"/>
        <v>-25</v>
      </c>
      <c r="D17" s="22">
        <f t="shared" si="1"/>
        <v>1.0933673469387748</v>
      </c>
      <c r="E17" s="24">
        <f t="shared" si="1"/>
        <v>3.4722222222222214</v>
      </c>
      <c r="F17" s="22">
        <f t="shared" si="1"/>
        <v>0.1356015779092701</v>
      </c>
      <c r="G17" s="24">
        <f t="shared" si="1"/>
        <v>0.46237244897959157</v>
      </c>
    </row>
    <row r="18" spans="1:7" ht="15" thickBot="1" x14ac:dyDescent="0.4"/>
    <row r="19" spans="1:7" x14ac:dyDescent="0.35">
      <c r="A19" s="6"/>
      <c r="B19" s="6" t="s">
        <v>127</v>
      </c>
      <c r="C19" s="7" t="s">
        <v>128</v>
      </c>
    </row>
    <row r="20" spans="1:7" x14ac:dyDescent="0.35">
      <c r="A20" s="8"/>
      <c r="B20" s="8" t="s">
        <v>99</v>
      </c>
      <c r="C20" s="9" t="s">
        <v>100</v>
      </c>
    </row>
    <row r="21" spans="1:7" x14ac:dyDescent="0.35">
      <c r="A21" s="8" t="s">
        <v>98</v>
      </c>
      <c r="B21" s="8">
        <v>0.33</v>
      </c>
      <c r="C21" s="23">
        <f>1/3</f>
        <v>0.33333333333333331</v>
      </c>
    </row>
    <row r="22" spans="1:7" x14ac:dyDescent="0.35">
      <c r="A22" s="8" t="s">
        <v>94</v>
      </c>
      <c r="B22" s="21">
        <f>10/60</f>
        <v>0.16666666666666666</v>
      </c>
      <c r="C22" s="9">
        <f>15/60</f>
        <v>0.25</v>
      </c>
    </row>
    <row r="23" spans="1:7" x14ac:dyDescent="0.35">
      <c r="A23" s="8" t="s">
        <v>101</v>
      </c>
      <c r="B23" s="21">
        <f>+B22/B21</f>
        <v>0.50505050505050497</v>
      </c>
      <c r="C23" s="20">
        <f>+C22/C21</f>
        <v>0.75</v>
      </c>
    </row>
    <row r="24" spans="1:7" x14ac:dyDescent="0.35">
      <c r="A24" s="8" t="s">
        <v>91</v>
      </c>
      <c r="B24" s="21">
        <f>1-B23</f>
        <v>0.49494949494949503</v>
      </c>
      <c r="C24" s="9">
        <f>1-C23</f>
        <v>0.25</v>
      </c>
    </row>
    <row r="25" spans="1:7" x14ac:dyDescent="0.35">
      <c r="A25" s="8" t="s">
        <v>102</v>
      </c>
      <c r="B25" s="21">
        <f>+B23^2/(1-B23)</f>
        <v>0.51535765821480084</v>
      </c>
      <c r="C25" s="9">
        <f>+C23^2/(1-C23)</f>
        <v>2.25</v>
      </c>
    </row>
    <row r="26" spans="1:7" ht="15" thickBot="1" x14ac:dyDescent="0.4">
      <c r="A26" s="10" t="s">
        <v>103</v>
      </c>
      <c r="B26" s="25">
        <f>+B25/B22</f>
        <v>3.0921459492888053</v>
      </c>
      <c r="C26" s="17">
        <f>+C25/C22</f>
        <v>9</v>
      </c>
    </row>
  </sheetData>
  <mergeCells count="1">
    <mergeCell ref="A1:K8"/>
  </mergeCells>
  <pageMargins left="0.7" right="0.7" top="0.75" bottom="0.75" header="0.3" footer="0.3"/>
  <pageSetup paperSize="9" orientation="landscape" verticalDpi="597"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15"/>
  <sheetViews>
    <sheetView zoomScale="90" zoomScaleNormal="90" workbookViewId="0">
      <selection activeCell="C33" sqref="C33"/>
    </sheetView>
  </sheetViews>
  <sheetFormatPr baseColWidth="10" defaultRowHeight="14.5" x14ac:dyDescent="0.35"/>
  <sheetData>
    <row r="2" spans="1:10" x14ac:dyDescent="0.35">
      <c r="A2" s="26" t="s">
        <v>104</v>
      </c>
      <c r="B2" s="26"/>
      <c r="C2" s="26"/>
      <c r="D2" s="26"/>
      <c r="E2" s="26"/>
      <c r="F2" s="26"/>
      <c r="G2" s="26"/>
      <c r="H2" s="26"/>
      <c r="I2" s="26"/>
      <c r="J2" s="26"/>
    </row>
    <row r="3" spans="1:10" x14ac:dyDescent="0.35">
      <c r="A3" s="26"/>
      <c r="B3" s="26"/>
      <c r="C3" s="26"/>
      <c r="D3" s="26"/>
      <c r="E3" s="26"/>
      <c r="F3" s="26"/>
      <c r="G3" s="26"/>
      <c r="H3" s="26"/>
      <c r="I3" s="26"/>
      <c r="J3" s="26"/>
    </row>
    <row r="4" spans="1:10" x14ac:dyDescent="0.35">
      <c r="A4" s="26"/>
      <c r="B4" s="26"/>
      <c r="C4" s="26"/>
      <c r="D4" s="26"/>
      <c r="E4" s="26"/>
      <c r="F4" s="26"/>
      <c r="G4" s="26"/>
      <c r="H4" s="26"/>
      <c r="I4" s="26"/>
      <c r="J4" s="26"/>
    </row>
    <row r="5" spans="1:10" x14ac:dyDescent="0.35">
      <c r="A5" s="26"/>
      <c r="B5" s="26"/>
      <c r="C5" s="26"/>
      <c r="D5" s="26"/>
      <c r="E5" s="26"/>
      <c r="F5" s="26"/>
      <c r="G5" s="26"/>
      <c r="H5" s="26"/>
      <c r="I5" s="26"/>
      <c r="J5" s="26"/>
    </row>
    <row r="6" spans="1:10" x14ac:dyDescent="0.35">
      <c r="A6" s="26"/>
      <c r="B6" s="26"/>
      <c r="C6" s="26"/>
      <c r="D6" s="26"/>
      <c r="E6" s="26"/>
      <c r="F6" s="26"/>
      <c r="G6" s="26"/>
      <c r="H6" s="26"/>
      <c r="I6" s="26"/>
      <c r="J6" s="26"/>
    </row>
    <row r="7" spans="1:10" ht="12.65" customHeight="1" x14ac:dyDescent="0.35">
      <c r="A7" s="26"/>
      <c r="B7" s="26"/>
      <c r="C7" s="26"/>
      <c r="D7" s="26"/>
      <c r="E7" s="26"/>
      <c r="F7" s="26"/>
      <c r="G7" s="26"/>
      <c r="H7" s="26"/>
      <c r="I7" s="26"/>
      <c r="J7" s="26"/>
    </row>
    <row r="11" spans="1:10" x14ac:dyDescent="0.35">
      <c r="D11" t="s">
        <v>125</v>
      </c>
    </row>
    <row r="12" spans="1:10" x14ac:dyDescent="0.35">
      <c r="A12" t="s">
        <v>105</v>
      </c>
      <c r="B12" t="s">
        <v>106</v>
      </c>
      <c r="C12" t="s">
        <v>98</v>
      </c>
      <c r="D12" t="s">
        <v>107</v>
      </c>
    </row>
    <row r="13" spans="1:10" x14ac:dyDescent="0.35">
      <c r="A13">
        <v>1</v>
      </c>
      <c r="B13">
        <v>8</v>
      </c>
      <c r="C13">
        <v>5</v>
      </c>
      <c r="D13">
        <v>2</v>
      </c>
    </row>
    <row r="14" spans="1:10" x14ac:dyDescent="0.35">
      <c r="A14">
        <v>2</v>
      </c>
      <c r="B14">
        <v>16</v>
      </c>
      <c r="C14">
        <v>5</v>
      </c>
      <c r="D14">
        <v>4</v>
      </c>
    </row>
    <row r="15" spans="1:10" x14ac:dyDescent="0.35">
      <c r="B15" t="s">
        <v>124</v>
      </c>
      <c r="C15" t="s">
        <v>124</v>
      </c>
    </row>
  </sheetData>
  <mergeCells count="1">
    <mergeCell ref="A2:J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5"/>
  <sheetViews>
    <sheetView zoomScaleNormal="100" workbookViewId="0">
      <selection activeCell="C18" sqref="C18"/>
    </sheetView>
  </sheetViews>
  <sheetFormatPr baseColWidth="10" defaultRowHeight="14.5" x14ac:dyDescent="0.35"/>
  <sheetData>
    <row r="1" spans="1:9" x14ac:dyDescent="0.35">
      <c r="A1" t="s">
        <v>114</v>
      </c>
      <c r="B1">
        <v>1</v>
      </c>
      <c r="E1">
        <v>2</v>
      </c>
      <c r="G1">
        <v>9</v>
      </c>
      <c r="H1">
        <v>1</v>
      </c>
    </row>
    <row r="2" spans="1:9" x14ac:dyDescent="0.35">
      <c r="A2" t="s">
        <v>106</v>
      </c>
      <c r="B2">
        <v>8</v>
      </c>
      <c r="E2">
        <v>16</v>
      </c>
      <c r="H2">
        <v>3</v>
      </c>
      <c r="I2">
        <v>3</v>
      </c>
    </row>
    <row r="3" spans="1:9" x14ac:dyDescent="0.35">
      <c r="A3" t="s">
        <v>98</v>
      </c>
      <c r="B3">
        <v>5</v>
      </c>
      <c r="E3">
        <v>5</v>
      </c>
      <c r="H3">
        <v>4</v>
      </c>
      <c r="I3">
        <v>5</v>
      </c>
    </row>
    <row r="4" spans="1:9" x14ac:dyDescent="0.35">
      <c r="A4" t="s">
        <v>107</v>
      </c>
      <c r="B4">
        <v>2</v>
      </c>
      <c r="E4">
        <v>4</v>
      </c>
      <c r="H4">
        <v>1</v>
      </c>
      <c r="I4">
        <v>1</v>
      </c>
    </row>
    <row r="5" spans="1:9" x14ac:dyDescent="0.35">
      <c r="A5" t="s">
        <v>101</v>
      </c>
      <c r="B5">
        <f>+B2/B3</f>
        <v>1.6</v>
      </c>
      <c r="E5">
        <f>+E2/E3</f>
        <v>3.2</v>
      </c>
      <c r="H5">
        <f>+H2/H3</f>
        <v>0.75</v>
      </c>
      <c r="I5">
        <f>+I2/I3</f>
        <v>0.6</v>
      </c>
    </row>
    <row r="6" spans="1:9" x14ac:dyDescent="0.35">
      <c r="A6" t="s">
        <v>116</v>
      </c>
      <c r="B6">
        <v>5</v>
      </c>
      <c r="E6">
        <v>5</v>
      </c>
      <c r="H6">
        <v>70</v>
      </c>
      <c r="I6">
        <v>70</v>
      </c>
    </row>
    <row r="7" spans="1:9" x14ac:dyDescent="0.35">
      <c r="A7" t="s">
        <v>117</v>
      </c>
      <c r="B7">
        <v>2</v>
      </c>
      <c r="E7">
        <v>2</v>
      </c>
      <c r="H7">
        <v>40</v>
      </c>
      <c r="I7">
        <v>90</v>
      </c>
    </row>
    <row r="9" spans="1:9" x14ac:dyDescent="0.35">
      <c r="A9" t="s">
        <v>126</v>
      </c>
      <c r="B9">
        <v>0.111</v>
      </c>
      <c r="E9">
        <v>2.7E-2</v>
      </c>
    </row>
    <row r="10" spans="1:9" x14ac:dyDescent="0.35">
      <c r="A10" t="s">
        <v>102</v>
      </c>
      <c r="B10">
        <f>+(((B2/B3)^B4*B2*B3)/(FACT((B4-1))*(B4*B3-B2)^2))*B9</f>
        <v>2.8416000000000006</v>
      </c>
      <c r="E10">
        <f>+(((E2/E3)^E4*E2*E3)/(FACT((E4-1))*(E4*E3-E2)^2))*E9</f>
        <v>2.3592960000000009</v>
      </c>
    </row>
    <row r="11" spans="1:9" x14ac:dyDescent="0.35">
      <c r="A11" t="s">
        <v>96</v>
      </c>
      <c r="B11">
        <f>+B10+B2/B3</f>
        <v>4.4416000000000011</v>
      </c>
      <c r="E11">
        <f>+E10+E2/E3</f>
        <v>5.5592960000000016</v>
      </c>
    </row>
    <row r="12" spans="1:9" x14ac:dyDescent="0.35">
      <c r="A12" t="s">
        <v>120</v>
      </c>
      <c r="B12">
        <f>+B13+1/B3</f>
        <v>0.55520000000000014</v>
      </c>
      <c r="E12">
        <f>+E13+1/E3</f>
        <v>0.3474560000000001</v>
      </c>
    </row>
    <row r="13" spans="1:9" x14ac:dyDescent="0.35">
      <c r="A13" t="s">
        <v>103</v>
      </c>
      <c r="B13">
        <f>+B10/B2</f>
        <v>0.35520000000000007</v>
      </c>
      <c r="C13">
        <f>+B13*60</f>
        <v>21.312000000000005</v>
      </c>
      <c r="E13">
        <f>+E10/E2</f>
        <v>0.14745600000000006</v>
      </c>
      <c r="F13">
        <f>+E13*60</f>
        <v>8.8473600000000037</v>
      </c>
    </row>
    <row r="23" spans="1:9" x14ac:dyDescent="0.35">
      <c r="A23" t="s">
        <v>108</v>
      </c>
      <c r="B23">
        <f>+B5/(1-B5)</f>
        <v>-2.6666666666666665</v>
      </c>
      <c r="E23">
        <f>+E5/(1-E5)</f>
        <v>-1.4545454545454546</v>
      </c>
      <c r="G23" t="s">
        <v>96</v>
      </c>
      <c r="H23">
        <f>+H5/(1-H5)</f>
        <v>3</v>
      </c>
      <c r="I23">
        <f>+I5/(1-I5)</f>
        <v>1.4999999999999998</v>
      </c>
    </row>
    <row r="24" spans="1:9" x14ac:dyDescent="0.35">
      <c r="A24" t="s">
        <v>109</v>
      </c>
      <c r="B24">
        <f>+B5^2/(1-B5)</f>
        <v>-4.2666666666666666</v>
      </c>
      <c r="E24">
        <f>+E5^2/(1-E5)</f>
        <v>-4.6545454545454552</v>
      </c>
      <c r="G24" t="s">
        <v>102</v>
      </c>
      <c r="H24">
        <f>+H5^2/(1-H5)</f>
        <v>2.25</v>
      </c>
      <c r="I24">
        <f>+I5^2/(1-I5)</f>
        <v>0.89999999999999991</v>
      </c>
    </row>
    <row r="25" spans="1:9" x14ac:dyDescent="0.35">
      <c r="A25" t="s">
        <v>110</v>
      </c>
      <c r="B25">
        <f>1/(B3-B2)</f>
        <v>-0.33333333333333331</v>
      </c>
      <c r="C25">
        <f>+B25*60</f>
        <v>-20</v>
      </c>
      <c r="D25" t="s">
        <v>111</v>
      </c>
      <c r="E25">
        <f>1/(E3-E2)</f>
        <v>-9.0909090909090912E-2</v>
      </c>
      <c r="G25" t="s">
        <v>120</v>
      </c>
      <c r="H25">
        <f>1/(H3-H2)</f>
        <v>1</v>
      </c>
      <c r="I25">
        <f>1/(I3-I2)</f>
        <v>0.5</v>
      </c>
    </row>
    <row r="26" spans="1:9" x14ac:dyDescent="0.35">
      <c r="A26" t="s">
        <v>112</v>
      </c>
      <c r="B26">
        <f>1/B3</f>
        <v>0.2</v>
      </c>
      <c r="C26">
        <f>+B26*60</f>
        <v>12</v>
      </c>
      <c r="D26" t="s">
        <v>111</v>
      </c>
      <c r="E26">
        <f>1/E3</f>
        <v>0.2</v>
      </c>
      <c r="G26" t="s">
        <v>121</v>
      </c>
      <c r="H26">
        <f>1/H3</f>
        <v>0.25</v>
      </c>
      <c r="I26">
        <f>1/I3</f>
        <v>0.2</v>
      </c>
    </row>
    <row r="27" spans="1:9" x14ac:dyDescent="0.35">
      <c r="A27" t="s">
        <v>113</v>
      </c>
      <c r="B27">
        <f>1/B2</f>
        <v>0.125</v>
      </c>
      <c r="C27">
        <f>+B27*60</f>
        <v>7.5</v>
      </c>
      <c r="D27" t="s">
        <v>111</v>
      </c>
      <c r="E27">
        <f>1/E2</f>
        <v>6.25E-2</v>
      </c>
      <c r="G27" t="s">
        <v>122</v>
      </c>
      <c r="H27">
        <f>1/H2</f>
        <v>0.33333333333333331</v>
      </c>
      <c r="I27">
        <f>1/I2</f>
        <v>0.33333333333333331</v>
      </c>
    </row>
    <row r="28" spans="1:9" x14ac:dyDescent="0.35">
      <c r="A28" t="s">
        <v>115</v>
      </c>
      <c r="B28">
        <f>+B6*B23+B7*B4</f>
        <v>-9.3333333333333321</v>
      </c>
      <c r="C28" t="s">
        <v>118</v>
      </c>
      <c r="E28">
        <f>+E6*E23+E7*E4</f>
        <v>0.72727272727272663</v>
      </c>
      <c r="G28" t="s">
        <v>123</v>
      </c>
      <c r="H28">
        <f>+H6*H23+H7*H4</f>
        <v>250</v>
      </c>
      <c r="I28">
        <f>+I6*I23+I7*I4</f>
        <v>195</v>
      </c>
    </row>
    <row r="30" spans="1:9" x14ac:dyDescent="0.35">
      <c r="D30" t="s">
        <v>119</v>
      </c>
      <c r="E30">
        <f>+B28-E28</f>
        <v>-10.060606060606059</v>
      </c>
    </row>
    <row r="34" spans="1:3" x14ac:dyDescent="0.35">
      <c r="A34">
        <f>1/6.25</f>
        <v>0.16</v>
      </c>
      <c r="B34">
        <f>0.08+A34</f>
        <v>0.24</v>
      </c>
    </row>
    <row r="35" spans="1:3" x14ac:dyDescent="0.35">
      <c r="B35">
        <f>+B34/2</f>
        <v>0.12</v>
      </c>
      <c r="C35">
        <f>1/B35</f>
        <v>8.3333333333333339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1"/>
  <sheetViews>
    <sheetView workbookViewId="0">
      <selection activeCell="H19" sqref="H19"/>
    </sheetView>
  </sheetViews>
  <sheetFormatPr baseColWidth="10" defaultRowHeight="14.5" x14ac:dyDescent="0.35"/>
  <cols>
    <col min="1" max="1" width="17" bestFit="1" customWidth="1"/>
    <col min="2" max="2" width="33.54296875" bestFit="1" customWidth="1"/>
    <col min="3" max="3" width="30.08984375" bestFit="1" customWidth="1"/>
    <col min="4" max="4" width="26.36328125" bestFit="1" customWidth="1"/>
    <col min="5" max="5" width="56.08984375" bestFit="1" customWidth="1"/>
    <col min="6" max="6" width="22.54296875" customWidth="1"/>
  </cols>
  <sheetData>
    <row r="1" spans="1:7" x14ac:dyDescent="0.35">
      <c r="A1" s="26" t="s">
        <v>0</v>
      </c>
      <c r="B1" s="26"/>
      <c r="C1" s="26"/>
      <c r="D1" s="26"/>
      <c r="E1" s="26"/>
      <c r="F1" s="26"/>
    </row>
    <row r="2" spans="1:7" x14ac:dyDescent="0.35">
      <c r="A2" s="26"/>
      <c r="B2" s="26"/>
      <c r="C2" s="26"/>
      <c r="D2" s="26"/>
      <c r="E2" s="26"/>
      <c r="F2" s="26"/>
    </row>
    <row r="3" spans="1:7" x14ac:dyDescent="0.35">
      <c r="A3" s="26"/>
      <c r="B3" s="26"/>
      <c r="C3" s="26"/>
      <c r="D3" s="26"/>
      <c r="E3" s="26"/>
      <c r="F3" s="26"/>
    </row>
    <row r="4" spans="1:7" ht="105.65" customHeight="1" x14ac:dyDescent="0.35">
      <c r="A4" s="26"/>
      <c r="B4" s="26"/>
      <c r="C4" s="26"/>
      <c r="D4" s="26"/>
      <c r="E4" s="26"/>
      <c r="F4" s="26"/>
    </row>
    <row r="6" spans="1:7" x14ac:dyDescent="0.35">
      <c r="A6" s="1" t="s">
        <v>1</v>
      </c>
      <c r="B6" s="1" t="s">
        <v>2</v>
      </c>
      <c r="C6" s="1" t="s">
        <v>3</v>
      </c>
      <c r="D6" s="1" t="s">
        <v>4</v>
      </c>
      <c r="E6" s="1" t="s">
        <v>5</v>
      </c>
      <c r="F6" s="1" t="s">
        <v>6</v>
      </c>
      <c r="G6" s="2"/>
    </row>
    <row r="7" spans="1:7" x14ac:dyDescent="0.35">
      <c r="A7" s="3" t="s">
        <v>7</v>
      </c>
      <c r="B7" s="3" t="s">
        <v>8</v>
      </c>
      <c r="C7" s="3" t="s">
        <v>9</v>
      </c>
      <c r="D7" s="3" t="s">
        <v>10</v>
      </c>
      <c r="E7" s="3" t="s">
        <v>10</v>
      </c>
      <c r="F7" s="4">
        <v>64.896507974239682</v>
      </c>
    </row>
    <row r="8" spans="1:7" x14ac:dyDescent="0.35">
      <c r="A8" s="3" t="s">
        <v>11</v>
      </c>
      <c r="B8" s="3" t="s">
        <v>8</v>
      </c>
      <c r="C8" s="3" t="s">
        <v>9</v>
      </c>
      <c r="D8" s="3" t="s">
        <v>10</v>
      </c>
      <c r="E8" s="3" t="s">
        <v>10</v>
      </c>
      <c r="F8" s="4">
        <v>59.325701336349582</v>
      </c>
    </row>
    <row r="9" spans="1:7" x14ac:dyDescent="0.35">
      <c r="A9" s="3" t="s">
        <v>12</v>
      </c>
      <c r="B9" s="3" t="s">
        <v>13</v>
      </c>
      <c r="C9" s="3" t="s">
        <v>14</v>
      </c>
      <c r="D9" s="3" t="s">
        <v>15</v>
      </c>
      <c r="E9" s="3" t="s">
        <v>16</v>
      </c>
      <c r="F9" s="4">
        <v>44.76905918015585</v>
      </c>
    </row>
    <row r="10" spans="1:7" x14ac:dyDescent="0.35">
      <c r="A10" s="3" t="s">
        <v>17</v>
      </c>
      <c r="B10" s="3" t="s">
        <v>18</v>
      </c>
      <c r="C10" s="3" t="s">
        <v>19</v>
      </c>
      <c r="D10" s="3" t="s">
        <v>20</v>
      </c>
      <c r="E10" s="3" t="s">
        <v>21</v>
      </c>
      <c r="F10" s="4">
        <v>135.08765515741015</v>
      </c>
    </row>
    <row r="11" spans="1:7" x14ac:dyDescent="0.35">
      <c r="A11" s="3" t="s">
        <v>22</v>
      </c>
      <c r="B11" s="3" t="s">
        <v>23</v>
      </c>
      <c r="C11" s="3" t="s">
        <v>24</v>
      </c>
      <c r="D11" s="3" t="s">
        <v>25</v>
      </c>
      <c r="E11" s="3" t="s">
        <v>26</v>
      </c>
      <c r="F11" s="4">
        <v>27.271393607394042</v>
      </c>
    </row>
    <row r="12" spans="1:7" x14ac:dyDescent="0.35">
      <c r="A12" s="1" t="s">
        <v>27</v>
      </c>
      <c r="B12" s="1" t="s">
        <v>18</v>
      </c>
      <c r="C12" s="1" t="s">
        <v>28</v>
      </c>
      <c r="D12" s="1" t="s">
        <v>29</v>
      </c>
      <c r="E12" s="1" t="s">
        <v>30</v>
      </c>
      <c r="F12" s="4">
        <v>34.525963509102411</v>
      </c>
    </row>
    <row r="13" spans="1:7" x14ac:dyDescent="0.35">
      <c r="A13" s="1" t="s">
        <v>31</v>
      </c>
      <c r="B13" s="1" t="s">
        <v>32</v>
      </c>
      <c r="C13" s="1" t="s">
        <v>33</v>
      </c>
      <c r="D13" s="1" t="s">
        <v>34</v>
      </c>
      <c r="E13" s="1" t="s">
        <v>35</v>
      </c>
      <c r="F13" s="4">
        <v>19.236654551231378</v>
      </c>
    </row>
    <row r="14" spans="1:7" x14ac:dyDescent="0.35">
      <c r="A14" s="1" t="s">
        <v>36</v>
      </c>
      <c r="B14" s="1" t="s">
        <v>37</v>
      </c>
      <c r="C14" s="1" t="s">
        <v>38</v>
      </c>
      <c r="D14" s="1" t="s">
        <v>39</v>
      </c>
      <c r="E14" s="1" t="s">
        <v>40</v>
      </c>
      <c r="F14" s="4">
        <v>25.400480762718701</v>
      </c>
    </row>
    <row r="15" spans="1:7" x14ac:dyDescent="0.35">
      <c r="A15" s="1" t="s">
        <v>41</v>
      </c>
      <c r="B15" s="1" t="s">
        <v>42</v>
      </c>
      <c r="C15" s="1" t="s">
        <v>24</v>
      </c>
      <c r="D15" s="1" t="s">
        <v>43</v>
      </c>
      <c r="E15" s="1" t="s">
        <v>44</v>
      </c>
      <c r="F15" s="4">
        <v>53.692332684479673</v>
      </c>
    </row>
    <row r="16" spans="1:7" x14ac:dyDescent="0.35">
      <c r="A16" s="1" t="s">
        <v>45</v>
      </c>
      <c r="B16" s="1" t="s">
        <v>42</v>
      </c>
      <c r="C16" s="1" t="s">
        <v>24</v>
      </c>
      <c r="D16" s="1" t="s">
        <v>43</v>
      </c>
      <c r="E16" s="1" t="s">
        <v>46</v>
      </c>
      <c r="F16" s="4">
        <v>15.329242032686814</v>
      </c>
    </row>
    <row r="17" spans="1:6" x14ac:dyDescent="0.35">
      <c r="A17" s="1" t="s">
        <v>47</v>
      </c>
      <c r="B17" s="1" t="s">
        <v>48</v>
      </c>
      <c r="C17" s="1" t="s">
        <v>19</v>
      </c>
      <c r="D17" s="1" t="s">
        <v>49</v>
      </c>
      <c r="E17" s="1"/>
      <c r="F17" s="4">
        <v>78.138132948359072</v>
      </c>
    </row>
    <row r="18" spans="1:6" x14ac:dyDescent="0.35">
      <c r="A18" s="1" t="s">
        <v>50</v>
      </c>
      <c r="B18" s="1" t="s">
        <v>51</v>
      </c>
      <c r="C18" s="1" t="s">
        <v>33</v>
      </c>
      <c r="D18" s="1" t="s">
        <v>52</v>
      </c>
      <c r="E18" s="1" t="s">
        <v>53</v>
      </c>
      <c r="F18" s="4">
        <v>23.29595039109487</v>
      </c>
    </row>
    <row r="19" spans="1:6" x14ac:dyDescent="0.35">
      <c r="A19" s="1" t="s">
        <v>54</v>
      </c>
      <c r="B19" s="1" t="s">
        <v>8</v>
      </c>
      <c r="C19" s="1" t="s">
        <v>55</v>
      </c>
      <c r="D19" s="1" t="s">
        <v>56</v>
      </c>
      <c r="E19" s="1" t="s">
        <v>57</v>
      </c>
      <c r="F19" s="4">
        <v>52.096517137811254</v>
      </c>
    </row>
    <row r="20" spans="1:6" x14ac:dyDescent="0.35">
      <c r="A20" s="1" t="s">
        <v>58</v>
      </c>
      <c r="B20" s="1" t="s">
        <v>59</v>
      </c>
      <c r="C20" s="1" t="s">
        <v>55</v>
      </c>
      <c r="D20" s="1" t="s">
        <v>60</v>
      </c>
      <c r="E20" s="1" t="s">
        <v>61</v>
      </c>
      <c r="F20" s="4">
        <v>115.70536433842061</v>
      </c>
    </row>
    <row r="21" spans="1:6" x14ac:dyDescent="0.35">
      <c r="A21" s="1" t="s">
        <v>62</v>
      </c>
      <c r="B21" s="1" t="s">
        <v>8</v>
      </c>
      <c r="C21" s="1" t="s">
        <v>63</v>
      </c>
      <c r="D21" s="1" t="s">
        <v>56</v>
      </c>
      <c r="E21" s="1" t="s">
        <v>64</v>
      </c>
      <c r="F21" s="4">
        <v>18.70564182872247</v>
      </c>
    </row>
    <row r="22" spans="1:6" x14ac:dyDescent="0.35">
      <c r="A22" s="1" t="s">
        <v>65</v>
      </c>
      <c r="B22" s="1" t="s">
        <v>18</v>
      </c>
      <c r="C22" s="1" t="s">
        <v>63</v>
      </c>
      <c r="D22" s="1" t="s">
        <v>56</v>
      </c>
      <c r="E22" s="1" t="s">
        <v>66</v>
      </c>
      <c r="F22" s="4">
        <v>41.01774634872789</v>
      </c>
    </row>
    <row r="23" spans="1:6" x14ac:dyDescent="0.35">
      <c r="A23" s="1" t="s">
        <v>67</v>
      </c>
      <c r="B23" s="1" t="s">
        <v>8</v>
      </c>
      <c r="C23" s="1" t="s">
        <v>68</v>
      </c>
      <c r="D23" s="1" t="s">
        <v>69</v>
      </c>
      <c r="E23" s="1" t="s">
        <v>70</v>
      </c>
      <c r="F23" s="4">
        <v>30.972058120281538</v>
      </c>
    </row>
    <row r="24" spans="1:6" x14ac:dyDescent="0.35">
      <c r="A24" s="1" t="s">
        <v>71</v>
      </c>
      <c r="B24" s="1" t="s">
        <v>72</v>
      </c>
      <c r="C24" s="1" t="s">
        <v>28</v>
      </c>
      <c r="D24" s="1" t="s">
        <v>39</v>
      </c>
      <c r="E24" s="1" t="s">
        <v>73</v>
      </c>
      <c r="F24" s="4">
        <v>21.768434339723203</v>
      </c>
    </row>
    <row r="25" spans="1:6" x14ac:dyDescent="0.35">
      <c r="A25" s="1" t="s">
        <v>74</v>
      </c>
      <c r="B25" s="1" t="s">
        <v>8</v>
      </c>
      <c r="C25" s="1" t="s">
        <v>75</v>
      </c>
      <c r="D25" s="1" t="s">
        <v>56</v>
      </c>
      <c r="E25" s="1" t="s">
        <v>76</v>
      </c>
      <c r="F25" s="4">
        <v>21.595743126201839</v>
      </c>
    </row>
    <row r="26" spans="1:6" x14ac:dyDescent="0.35">
      <c r="A26" s="1" t="s">
        <v>77</v>
      </c>
      <c r="B26" s="1" t="s">
        <v>8</v>
      </c>
      <c r="C26" s="1" t="s">
        <v>75</v>
      </c>
      <c r="D26" s="1" t="s">
        <v>56</v>
      </c>
      <c r="E26" s="1" t="s">
        <v>76</v>
      </c>
      <c r="F26" s="4">
        <v>50.935268639661246</v>
      </c>
    </row>
    <row r="27" spans="1:6" x14ac:dyDescent="0.35">
      <c r="A27" s="1" t="s">
        <v>78</v>
      </c>
      <c r="B27" s="1" t="s">
        <v>79</v>
      </c>
      <c r="C27" s="1" t="s">
        <v>80</v>
      </c>
      <c r="D27" s="1" t="s">
        <v>81</v>
      </c>
      <c r="E27" s="1" t="s">
        <v>82</v>
      </c>
      <c r="F27" s="4">
        <v>44.722999981158971</v>
      </c>
    </row>
    <row r="28" spans="1:6" x14ac:dyDescent="0.35">
      <c r="A28" s="1" t="s">
        <v>83</v>
      </c>
      <c r="B28" s="1" t="s">
        <v>18</v>
      </c>
      <c r="C28" s="1" t="s">
        <v>33</v>
      </c>
      <c r="D28" s="1" t="s">
        <v>52</v>
      </c>
      <c r="E28" s="1" t="s">
        <v>53</v>
      </c>
      <c r="F28" s="4">
        <v>29.333912105145252</v>
      </c>
    </row>
    <row r="29" spans="1:6" x14ac:dyDescent="0.35">
      <c r="A29" s="1" t="s">
        <v>84</v>
      </c>
      <c r="B29" s="1" t="s">
        <v>85</v>
      </c>
      <c r="C29" s="1" t="s">
        <v>24</v>
      </c>
      <c r="D29" s="1" t="s">
        <v>43</v>
      </c>
      <c r="E29" s="1" t="s">
        <v>46</v>
      </c>
      <c r="F29" s="4">
        <v>53.644128756713648</v>
      </c>
    </row>
    <row r="30" spans="1:6" x14ac:dyDescent="0.35">
      <c r="A30" s="1" t="s">
        <v>86</v>
      </c>
      <c r="B30" s="1" t="s">
        <v>8</v>
      </c>
      <c r="C30" s="1" t="s">
        <v>24</v>
      </c>
      <c r="D30" s="1" t="s">
        <v>43</v>
      </c>
      <c r="E30" s="1" t="s">
        <v>44</v>
      </c>
      <c r="F30" s="4">
        <v>83.094053063143278</v>
      </c>
    </row>
    <row r="31" spans="1:6" x14ac:dyDescent="0.35">
      <c r="A31" s="1" t="s">
        <v>87</v>
      </c>
      <c r="B31" s="1" t="s">
        <v>8</v>
      </c>
      <c r="C31" s="1" t="s">
        <v>24</v>
      </c>
      <c r="D31" s="1" t="s">
        <v>43</v>
      </c>
      <c r="E31" s="1" t="s">
        <v>46</v>
      </c>
      <c r="F31" s="4">
        <v>359.52543580699842</v>
      </c>
    </row>
  </sheetData>
  <autoFilter ref="A6:F6" xr:uid="{00000000-0009-0000-0000-000003000000}"/>
  <mergeCells count="1">
    <mergeCell ref="A1:F4"/>
  </mergeCells>
  <pageMargins left="0.25" right="0.25" top="0.75" bottom="0.75" header="0.3" footer="0.3"/>
  <pageSetup paperSize="9" scale="77" orientation="landscape"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9"/>
  <sheetViews>
    <sheetView workbookViewId="0">
      <selection activeCell="I12" sqref="I12"/>
    </sheetView>
  </sheetViews>
  <sheetFormatPr baseColWidth="10" defaultRowHeight="14.5" x14ac:dyDescent="0.35"/>
  <cols>
    <col min="3" max="3" width="14" customWidth="1"/>
    <col min="4" max="5" width="12" bestFit="1" customWidth="1"/>
  </cols>
  <sheetData>
    <row r="1" spans="1:13" x14ac:dyDescent="0.35">
      <c r="G1" t="s">
        <v>93</v>
      </c>
      <c r="H1" t="s">
        <v>94</v>
      </c>
      <c r="I1" t="s">
        <v>101</v>
      </c>
    </row>
    <row r="2" spans="1:13" x14ac:dyDescent="0.35">
      <c r="A2" t="s">
        <v>88</v>
      </c>
      <c r="B2">
        <v>25</v>
      </c>
      <c r="C2">
        <f>+FACT(B2)</f>
        <v>1.5511210043330984E+25</v>
      </c>
      <c r="E2" s="5">
        <f>+SUM(E4:E29)</f>
        <v>4.0762200769384291</v>
      </c>
      <c r="G2">
        <f>1/2</f>
        <v>0.5</v>
      </c>
      <c r="H2">
        <f>1/60</f>
        <v>1.6666666666666666E-2</v>
      </c>
      <c r="I2">
        <f>+H2/G2</f>
        <v>3.3333333333333333E-2</v>
      </c>
    </row>
    <row r="3" spans="1:13" x14ac:dyDescent="0.35">
      <c r="A3" t="s">
        <v>90</v>
      </c>
      <c r="B3" t="s">
        <v>89</v>
      </c>
    </row>
    <row r="4" spans="1:13" x14ac:dyDescent="0.35">
      <c r="A4">
        <v>0</v>
      </c>
      <c r="B4">
        <f>+$B$2</f>
        <v>25</v>
      </c>
      <c r="C4">
        <f>+FACT(B4)</f>
        <v>1.5511210043330984E+25</v>
      </c>
      <c r="D4">
        <f t="shared" ref="D4:D29" si="0">+$C$2/C4</f>
        <v>1</v>
      </c>
      <c r="E4" s="5">
        <f>+D4*$I$2^A4</f>
        <v>1</v>
      </c>
    </row>
    <row r="5" spans="1:13" x14ac:dyDescent="0.35">
      <c r="A5">
        <v>1</v>
      </c>
      <c r="B5">
        <f>+$B$2-A5</f>
        <v>24</v>
      </c>
      <c r="C5">
        <f t="shared" ref="C5:C29" si="1">+FACT(B5)</f>
        <v>6.2044840173323941E+23</v>
      </c>
      <c r="D5">
        <f t="shared" si="0"/>
        <v>24.999999999999996</v>
      </c>
      <c r="E5" s="5">
        <f>+D5*$I$2^A5</f>
        <v>0.83333333333333315</v>
      </c>
    </row>
    <row r="6" spans="1:13" ht="15" thickBot="1" x14ac:dyDescent="0.4">
      <c r="A6">
        <v>2</v>
      </c>
      <c r="B6">
        <f t="shared" ref="B6:B29" si="2">+$B$2-A6</f>
        <v>23</v>
      </c>
      <c r="C6">
        <f t="shared" si="1"/>
        <v>2.5852016738884978E+22</v>
      </c>
      <c r="D6">
        <f t="shared" si="0"/>
        <v>599.99999999999989</v>
      </c>
      <c r="E6" s="5">
        <f t="shared" ref="E6:E29" si="3">+D6*$I$2^A6</f>
        <v>0.66666666666666652</v>
      </c>
    </row>
    <row r="7" spans="1:13" ht="15" thickBot="1" x14ac:dyDescent="0.4">
      <c r="A7">
        <v>3</v>
      </c>
      <c r="B7">
        <f>+$B$2-A7</f>
        <v>22</v>
      </c>
      <c r="C7">
        <f t="shared" si="1"/>
        <v>1.1240007277776077E+21</v>
      </c>
      <c r="D7">
        <f t="shared" si="0"/>
        <v>13799.999999999998</v>
      </c>
      <c r="E7" s="5">
        <f t="shared" si="3"/>
        <v>0.51111111111111107</v>
      </c>
      <c r="H7" s="11" t="s">
        <v>91</v>
      </c>
      <c r="I7" s="12">
        <f>1/E2</f>
        <v>0.24532532128419349</v>
      </c>
    </row>
    <row r="8" spans="1:13" ht="15" thickBot="1" x14ac:dyDescent="0.4">
      <c r="A8">
        <v>4</v>
      </c>
      <c r="B8">
        <f t="shared" si="2"/>
        <v>21</v>
      </c>
      <c r="C8">
        <f t="shared" si="1"/>
        <v>5.109094217170944E+19</v>
      </c>
      <c r="D8">
        <f t="shared" si="0"/>
        <v>303599.99999999994</v>
      </c>
      <c r="E8" s="5">
        <f t="shared" si="3"/>
        <v>0.37481481481481477</v>
      </c>
      <c r="H8" s="13"/>
      <c r="I8" s="13"/>
    </row>
    <row r="9" spans="1:13" ht="15" thickBot="1" x14ac:dyDescent="0.4">
      <c r="A9">
        <v>5</v>
      </c>
      <c r="B9">
        <f t="shared" si="2"/>
        <v>20</v>
      </c>
      <c r="C9">
        <f t="shared" si="1"/>
        <v>2.43290200817664E+18</v>
      </c>
      <c r="D9">
        <f t="shared" si="0"/>
        <v>6375599.9999999991</v>
      </c>
      <c r="E9" s="5">
        <f t="shared" si="3"/>
        <v>0.26237037037037036</v>
      </c>
      <c r="H9" s="11" t="s">
        <v>92</v>
      </c>
      <c r="I9" s="14">
        <f>B2-(H2+G2)/H2*(1-I7)</f>
        <v>1.6050849598099965</v>
      </c>
      <c r="J9" t="s">
        <v>130</v>
      </c>
      <c r="L9" t="s">
        <v>96</v>
      </c>
      <c r="M9">
        <f>+I9+(1-I7)</f>
        <v>2.3597596385258033</v>
      </c>
    </row>
    <row r="10" spans="1:13" ht="15" thickBot="1" x14ac:dyDescent="0.4">
      <c r="A10">
        <v>6</v>
      </c>
      <c r="B10">
        <f t="shared" si="2"/>
        <v>19</v>
      </c>
      <c r="C10">
        <f t="shared" si="1"/>
        <v>1.21645100408832E+17</v>
      </c>
      <c r="D10">
        <f t="shared" si="0"/>
        <v>127511999.99999999</v>
      </c>
      <c r="E10" s="5">
        <f t="shared" si="3"/>
        <v>0.17491358024691356</v>
      </c>
      <c r="H10" s="15" t="s">
        <v>95</v>
      </c>
      <c r="I10" s="16">
        <f>+I9/((B2-M9)*H2)</f>
        <v>4.2537135671261472</v>
      </c>
      <c r="J10" t="s">
        <v>131</v>
      </c>
    </row>
    <row r="11" spans="1:13" ht="15" thickBot="1" x14ac:dyDescent="0.4">
      <c r="A11">
        <v>7</v>
      </c>
      <c r="B11">
        <f t="shared" si="2"/>
        <v>18</v>
      </c>
      <c r="C11">
        <f t="shared" si="1"/>
        <v>6402373705728000</v>
      </c>
      <c r="D11">
        <f t="shared" si="0"/>
        <v>2422727999.9999995</v>
      </c>
      <c r="E11" s="5">
        <f t="shared" si="3"/>
        <v>0.11077860082304523</v>
      </c>
      <c r="H11" s="11" t="s">
        <v>97</v>
      </c>
      <c r="I11" s="12">
        <f>1-I7</f>
        <v>0.75467467871580651</v>
      </c>
      <c r="J11" t="s">
        <v>132</v>
      </c>
    </row>
    <row r="12" spans="1:13" x14ac:dyDescent="0.35">
      <c r="A12">
        <v>8</v>
      </c>
      <c r="B12">
        <f t="shared" si="2"/>
        <v>17</v>
      </c>
      <c r="C12">
        <f t="shared" si="1"/>
        <v>355687428096000</v>
      </c>
      <c r="D12">
        <f t="shared" si="0"/>
        <v>43609103999.999992</v>
      </c>
      <c r="E12" s="5">
        <f t="shared" si="3"/>
        <v>6.6467160493827143E-2</v>
      </c>
    </row>
    <row r="13" spans="1:13" x14ac:dyDescent="0.35">
      <c r="A13">
        <v>9</v>
      </c>
      <c r="B13">
        <f t="shared" si="2"/>
        <v>16</v>
      </c>
      <c r="C13">
        <f t="shared" si="1"/>
        <v>20922789888000</v>
      </c>
      <c r="D13">
        <f t="shared" si="0"/>
        <v>741354767999.99988</v>
      </c>
      <c r="E13" s="5">
        <f t="shared" si="3"/>
        <v>3.7664724279835381E-2</v>
      </c>
    </row>
    <row r="14" spans="1:13" x14ac:dyDescent="0.35">
      <c r="A14">
        <v>10</v>
      </c>
      <c r="B14">
        <f t="shared" si="2"/>
        <v>15</v>
      </c>
      <c r="C14">
        <f t="shared" si="1"/>
        <v>1307674368000</v>
      </c>
      <c r="D14">
        <f t="shared" si="0"/>
        <v>11861676287999.998</v>
      </c>
      <c r="E14" s="5">
        <f t="shared" si="3"/>
        <v>2.008785294924554E-2</v>
      </c>
    </row>
    <row r="15" spans="1:13" x14ac:dyDescent="0.35">
      <c r="A15">
        <v>11</v>
      </c>
      <c r="B15">
        <f t="shared" si="2"/>
        <v>14</v>
      </c>
      <c r="C15">
        <f t="shared" si="1"/>
        <v>87178291200</v>
      </c>
      <c r="D15">
        <f t="shared" si="0"/>
        <v>177925144319999.97</v>
      </c>
      <c r="E15" s="5">
        <f t="shared" si="3"/>
        <v>1.0043926474622768E-2</v>
      </c>
    </row>
    <row r="16" spans="1:13" x14ac:dyDescent="0.35">
      <c r="A16">
        <v>12</v>
      </c>
      <c r="B16">
        <f t="shared" si="2"/>
        <v>13</v>
      </c>
      <c r="C16">
        <f t="shared" si="1"/>
        <v>6227020800</v>
      </c>
      <c r="D16">
        <f t="shared" si="0"/>
        <v>2490952020479999.5</v>
      </c>
      <c r="E16" s="5">
        <f t="shared" si="3"/>
        <v>4.6871656881572916E-3</v>
      </c>
    </row>
    <row r="17" spans="1:5" x14ac:dyDescent="0.35">
      <c r="A17">
        <v>13</v>
      </c>
      <c r="B17">
        <f t="shared" si="2"/>
        <v>12</v>
      </c>
      <c r="C17">
        <f t="shared" si="1"/>
        <v>479001600</v>
      </c>
      <c r="D17">
        <f t="shared" si="0"/>
        <v>3.2382376266239996E+16</v>
      </c>
      <c r="E17" s="5">
        <f t="shared" si="3"/>
        <v>2.0311051315348265E-3</v>
      </c>
    </row>
    <row r="18" spans="1:5" x14ac:dyDescent="0.35">
      <c r="A18">
        <v>14</v>
      </c>
      <c r="B18">
        <f t="shared" si="2"/>
        <v>11</v>
      </c>
      <c r="C18">
        <f t="shared" si="1"/>
        <v>39916800</v>
      </c>
      <c r="D18">
        <f t="shared" si="0"/>
        <v>3.8858851519487994E+17</v>
      </c>
      <c r="E18" s="5">
        <f t="shared" si="3"/>
        <v>8.1244205261393071E-4</v>
      </c>
    </row>
    <row r="19" spans="1:5" x14ac:dyDescent="0.35">
      <c r="A19">
        <v>15</v>
      </c>
      <c r="B19">
        <f t="shared" si="2"/>
        <v>10</v>
      </c>
      <c r="C19">
        <f t="shared" si="1"/>
        <v>3628800</v>
      </c>
      <c r="D19">
        <f t="shared" si="0"/>
        <v>4.2744736671436795E+18</v>
      </c>
      <c r="E19" s="5">
        <f t="shared" si="3"/>
        <v>2.9789541929177454E-4</v>
      </c>
    </row>
    <row r="20" spans="1:5" x14ac:dyDescent="0.35">
      <c r="A20">
        <v>16</v>
      </c>
      <c r="B20">
        <f t="shared" si="2"/>
        <v>9</v>
      </c>
      <c r="C20">
        <f t="shared" si="1"/>
        <v>362880</v>
      </c>
      <c r="D20">
        <f t="shared" si="0"/>
        <v>4.2744736671436792E+19</v>
      </c>
      <c r="E20" s="5">
        <f t="shared" si="3"/>
        <v>9.929847309725817E-5</v>
      </c>
    </row>
    <row r="21" spans="1:5" x14ac:dyDescent="0.35">
      <c r="A21">
        <v>17</v>
      </c>
      <c r="B21">
        <f t="shared" si="2"/>
        <v>8</v>
      </c>
      <c r="C21">
        <f t="shared" si="1"/>
        <v>40320</v>
      </c>
      <c r="D21">
        <f t="shared" si="0"/>
        <v>3.8470263004293117E+20</v>
      </c>
      <c r="E21" s="5">
        <f t="shared" si="3"/>
        <v>2.9789541929177456E-5</v>
      </c>
    </row>
    <row r="22" spans="1:5" x14ac:dyDescent="0.35">
      <c r="A22">
        <v>18</v>
      </c>
      <c r="B22">
        <f t="shared" si="2"/>
        <v>7</v>
      </c>
      <c r="C22">
        <f t="shared" si="1"/>
        <v>5040</v>
      </c>
      <c r="D22">
        <f t="shared" si="0"/>
        <v>3.0776210403434493E+21</v>
      </c>
      <c r="E22" s="5">
        <f t="shared" si="3"/>
        <v>7.9438778477806544E-6</v>
      </c>
    </row>
    <row r="23" spans="1:5" x14ac:dyDescent="0.35">
      <c r="A23">
        <v>19</v>
      </c>
      <c r="B23">
        <f t="shared" si="2"/>
        <v>6</v>
      </c>
      <c r="C23">
        <f t="shared" si="1"/>
        <v>720</v>
      </c>
      <c r="D23">
        <f t="shared" si="0"/>
        <v>2.1543347282404144E+22</v>
      </c>
      <c r="E23" s="5">
        <f t="shared" si="3"/>
        <v>1.8535714978154862E-6</v>
      </c>
    </row>
    <row r="24" spans="1:5" x14ac:dyDescent="0.35">
      <c r="A24">
        <v>20</v>
      </c>
      <c r="B24">
        <f t="shared" si="2"/>
        <v>5</v>
      </c>
      <c r="C24">
        <f t="shared" si="1"/>
        <v>120</v>
      </c>
      <c r="D24">
        <f t="shared" si="0"/>
        <v>1.2926008369442487E+23</v>
      </c>
      <c r="E24" s="5">
        <f t="shared" si="3"/>
        <v>3.7071429956309717E-7</v>
      </c>
    </row>
    <row r="25" spans="1:5" x14ac:dyDescent="0.35">
      <c r="A25">
        <v>21</v>
      </c>
      <c r="B25">
        <f t="shared" si="2"/>
        <v>4</v>
      </c>
      <c r="C25">
        <f t="shared" si="1"/>
        <v>24</v>
      </c>
      <c r="D25">
        <f t="shared" si="0"/>
        <v>6.4630041847212433E+23</v>
      </c>
      <c r="E25" s="5">
        <f t="shared" si="3"/>
        <v>6.1785716593849542E-8</v>
      </c>
    </row>
    <row r="26" spans="1:5" x14ac:dyDescent="0.35">
      <c r="A26">
        <v>22</v>
      </c>
      <c r="B26">
        <f t="shared" si="2"/>
        <v>3</v>
      </c>
      <c r="C26">
        <f t="shared" si="1"/>
        <v>6</v>
      </c>
      <c r="D26">
        <f t="shared" si="0"/>
        <v>2.5852016738884973E+24</v>
      </c>
      <c r="E26" s="5">
        <f t="shared" si="3"/>
        <v>8.2380955458466043E-9</v>
      </c>
    </row>
    <row r="27" spans="1:5" x14ac:dyDescent="0.35">
      <c r="A27">
        <v>23</v>
      </c>
      <c r="B27">
        <f t="shared" si="2"/>
        <v>2</v>
      </c>
      <c r="C27">
        <f t="shared" si="1"/>
        <v>2</v>
      </c>
      <c r="D27">
        <f t="shared" si="0"/>
        <v>7.755605021665492E+24</v>
      </c>
      <c r="E27" s="5">
        <f t="shared" si="3"/>
        <v>8.2380955458466047E-10</v>
      </c>
    </row>
    <row r="28" spans="1:5" x14ac:dyDescent="0.35">
      <c r="A28">
        <v>24</v>
      </c>
      <c r="B28">
        <f t="shared" si="2"/>
        <v>1</v>
      </c>
      <c r="C28">
        <f t="shared" si="1"/>
        <v>1</v>
      </c>
      <c r="D28">
        <f t="shared" si="0"/>
        <v>1.5511210043330984E+25</v>
      </c>
      <c r="E28" s="5">
        <f t="shared" si="3"/>
        <v>5.4920636972310693E-11</v>
      </c>
    </row>
    <row r="29" spans="1:5" x14ac:dyDescent="0.35">
      <c r="A29">
        <v>25</v>
      </c>
      <c r="B29">
        <f t="shared" si="2"/>
        <v>0</v>
      </c>
      <c r="C29">
        <f t="shared" si="1"/>
        <v>1</v>
      </c>
      <c r="D29">
        <f t="shared" si="0"/>
        <v>1.5511210043330984E+25</v>
      </c>
      <c r="E29" s="5">
        <f t="shared" si="3"/>
        <v>1.8306878990770233E-12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CONSIGNA MULTIPLES CANALES</vt:lpstr>
      <vt:lpstr>MULTIPLES CANALES 2</vt:lpstr>
      <vt:lpstr>Resolución MC2</vt:lpstr>
      <vt:lpstr>CONSIGNA COLA FINITA</vt:lpstr>
      <vt:lpstr>RESOLUCIÓN</vt:lpstr>
    </vt:vector>
  </TitlesOfParts>
  <Company>Daimler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Patterlini, Matias (155)</dc:creator>
  <cp:lastModifiedBy>Matias Patterlini</cp:lastModifiedBy>
  <cp:lastPrinted>2018-05-21T21:28:39Z</cp:lastPrinted>
  <dcterms:created xsi:type="dcterms:W3CDTF">2018-05-21T20:51:20Z</dcterms:created>
  <dcterms:modified xsi:type="dcterms:W3CDTF">2021-05-10T23:06:33Z</dcterms:modified>
</cp:coreProperties>
</file>